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szymkiewicz\Desktop\PRZETARGI\PRZETARGI 2017\12_2017\Zmiana SIWZ nr 1\"/>
    </mc:Choice>
  </mc:AlternateContent>
  <bookViews>
    <workbookView xWindow="0" yWindow="0" windowWidth="18600" windowHeight="9105" activeTab="2"/>
  </bookViews>
  <sheets>
    <sheet name="Załuski -Przyborowice" sheetId="2" r:id="rId1"/>
    <sheet name="Załuski-Trębki" sheetId="3" r:id="rId2"/>
    <sheet name="Trębki- w. Modlin" sheetId="4" r:id="rId3"/>
    <sheet name="Arkusz1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3" l="1"/>
  <c r="F56" i="3"/>
  <c r="F26" i="3"/>
  <c r="F21" i="3" l="1"/>
  <c r="E36" i="2"/>
  <c r="E35" i="2"/>
  <c r="F18" i="2"/>
  <c r="F32" i="3" l="1"/>
  <c r="F31" i="3"/>
  <c r="F29" i="3"/>
  <c r="F55" i="3" s="1"/>
  <c r="E23" i="2"/>
  <c r="E34" i="2" s="1"/>
  <c r="I3" i="1"/>
  <c r="Y4" i="2" l="1"/>
  <c r="X3" i="2"/>
  <c r="W4" i="2"/>
  <c r="P2" i="1"/>
  <c r="O17" i="1"/>
  <c r="O6" i="1"/>
  <c r="O7" i="1" s="1"/>
  <c r="G18" i="1" l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17" i="1"/>
  <c r="G33" i="1" s="1"/>
  <c r="G3" i="1"/>
  <c r="G4" i="1"/>
  <c r="G5" i="1"/>
  <c r="G6" i="1"/>
  <c r="G7" i="1"/>
  <c r="G8" i="1"/>
  <c r="G9" i="1"/>
  <c r="G10" i="1"/>
  <c r="G11" i="1"/>
  <c r="G12" i="1"/>
  <c r="G13" i="1"/>
  <c r="G2" i="1"/>
  <c r="G14" i="1" s="1"/>
  <c r="I17" i="1" l="1"/>
  <c r="I4" i="1"/>
  <c r="I21" i="1"/>
  <c r="I18" i="1"/>
  <c r="I19" i="1"/>
  <c r="I16" i="1"/>
  <c r="I24" i="1"/>
  <c r="I22" i="1"/>
  <c r="I25" i="1"/>
  <c r="I20" i="1" l="1"/>
  <c r="I44" i="1"/>
  <c r="I38" i="1"/>
  <c r="I37" i="1"/>
  <c r="I43" i="1"/>
  <c r="I27" i="1" l="1"/>
  <c r="I9" i="1"/>
  <c r="I5" i="1"/>
  <c r="I6" i="1"/>
  <c r="I7" i="1"/>
</calcChain>
</file>

<file path=xl/sharedStrings.xml><?xml version="1.0" encoding="utf-8"?>
<sst xmlns="http://schemas.openxmlformats.org/spreadsheetml/2006/main" count="402" uniqueCount="176">
  <si>
    <t>Lp.</t>
  </si>
  <si>
    <t>km</t>
  </si>
  <si>
    <t>Załuski - Przyborowice km 309+660 do 313+520</t>
  </si>
  <si>
    <t>Załuski -  Trębki km 314+590 do 321+000</t>
  </si>
  <si>
    <t>W. Modlin - Trębki km 321+000 do 325+992</t>
  </si>
  <si>
    <t>309+865</t>
  </si>
  <si>
    <t>nazwa</t>
  </si>
  <si>
    <t>przepust 1</t>
  </si>
  <si>
    <t>przepust 2</t>
  </si>
  <si>
    <t>przepust 3</t>
  </si>
  <si>
    <t>przepust 4</t>
  </si>
  <si>
    <t>przepust 5</t>
  </si>
  <si>
    <t>311+127</t>
  </si>
  <si>
    <t>311+608</t>
  </si>
  <si>
    <t>311+998</t>
  </si>
  <si>
    <t>313+383</t>
  </si>
  <si>
    <t>314+714</t>
  </si>
  <si>
    <t>314+748</t>
  </si>
  <si>
    <t>przepust 2 (pod zamknietym zjazdem str. lewa)</t>
  </si>
  <si>
    <t>316+370</t>
  </si>
  <si>
    <t>317+642</t>
  </si>
  <si>
    <t>320+527</t>
  </si>
  <si>
    <t>322+613</t>
  </si>
  <si>
    <t>Φ</t>
  </si>
  <si>
    <t>L</t>
  </si>
  <si>
    <t>przepust 1 (pod drogą zbiorczą)</t>
  </si>
  <si>
    <t>322+526</t>
  </si>
  <si>
    <t>Ścieki trójkątne</t>
  </si>
  <si>
    <t xml:space="preserve">Ścieki skarpowe </t>
  </si>
  <si>
    <t>krawężnik</t>
  </si>
  <si>
    <t>m</t>
  </si>
  <si>
    <t>szt.</t>
  </si>
  <si>
    <t>chodnik</t>
  </si>
  <si>
    <t>obrzeża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</si>
  <si>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</si>
  <si>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przepust 6</t>
  </si>
  <si>
    <t>311+694</t>
  </si>
  <si>
    <t>przepust 7</t>
  </si>
  <si>
    <t>311+877</t>
  </si>
  <si>
    <t>przepust 8</t>
  </si>
  <si>
    <t>311+905</t>
  </si>
  <si>
    <t>dołożyć krawężnik na płask w pasie rozdziału w km 311+708</t>
  </si>
  <si>
    <t>azyl środkowy kostka do przełożenia w km 311+900</t>
  </si>
  <si>
    <t>312+760</t>
  </si>
  <si>
    <t>kratki ściekowe</t>
  </si>
  <si>
    <t>przepust 9</t>
  </si>
  <si>
    <t>315+876</t>
  </si>
  <si>
    <t xml:space="preserve">dojście do przejscia dla pieszych do przełożenia </t>
  </si>
  <si>
    <t>wjazd techniczny</t>
  </si>
  <si>
    <t>ścieki trójkątne</t>
  </si>
  <si>
    <t>skarpówki</t>
  </si>
  <si>
    <t xml:space="preserve">szt. </t>
  </si>
  <si>
    <t xml:space="preserve">3 studnie </t>
  </si>
  <si>
    <t>3 kratki</t>
  </si>
  <si>
    <t>zabruk rowu po obu stronach w km 323+800 dp 323+880 wjazd na stację paliw</t>
  </si>
  <si>
    <t>umocnienie dna rowu</t>
  </si>
  <si>
    <t xml:space="preserve">pęknięcia poprzeczne jezdni </t>
  </si>
  <si>
    <t>pęknięcia poprzeczne jezdni węzeł</t>
  </si>
  <si>
    <t>siatka w km 323+470 do 323+720</t>
  </si>
  <si>
    <t>316+200</t>
  </si>
  <si>
    <t>316+233</t>
  </si>
  <si>
    <t>przepust 10</t>
  </si>
  <si>
    <t>318+104</t>
  </si>
  <si>
    <t>przepust 11</t>
  </si>
  <si>
    <t>przepust 12</t>
  </si>
  <si>
    <t>318+847</t>
  </si>
  <si>
    <t>przepust 13</t>
  </si>
  <si>
    <t>przepust 14</t>
  </si>
  <si>
    <t>zabruk pasa rozdziału od km 315+700 do 316+020 oraz od 318+720 do 318+980</t>
  </si>
  <si>
    <t>kostka do przełożenia (azyl środkowy w km 316+200, spocznik w km 318+080)</t>
  </si>
  <si>
    <t>przepust 15</t>
  </si>
  <si>
    <t>przepust 16</t>
  </si>
  <si>
    <t>320+635</t>
  </si>
  <si>
    <t>310+192</t>
  </si>
  <si>
    <t>Σ</t>
  </si>
  <si>
    <t>objętość do odmulenia (15%)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</si>
  <si>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</si>
  <si>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powierzchnia malowania</t>
  </si>
  <si>
    <t>a</t>
  </si>
  <si>
    <t>b</t>
  </si>
  <si>
    <t>h</t>
  </si>
  <si>
    <t>jedn.</t>
  </si>
  <si>
    <t>Ściek trójkątny</t>
  </si>
  <si>
    <t>km początkowy</t>
  </si>
  <si>
    <t>km końcowy</t>
  </si>
  <si>
    <t>309+830</t>
  </si>
  <si>
    <t>Dł</t>
  </si>
  <si>
    <t>Ściek skarpowy 4szt.</t>
  </si>
  <si>
    <t>310+120</t>
  </si>
  <si>
    <t>310+140</t>
  </si>
  <si>
    <t>309+874</t>
  </si>
  <si>
    <t>310+160</t>
  </si>
  <si>
    <t>309+870</t>
  </si>
  <si>
    <t>311+600</t>
  </si>
  <si>
    <t>311+606</t>
  </si>
  <si>
    <t>311+652</t>
  </si>
  <si>
    <t>315+320</t>
  </si>
  <si>
    <t>316+070</t>
  </si>
  <si>
    <t>315+870</t>
  </si>
  <si>
    <t>316+322</t>
  </si>
  <si>
    <t>316+442</t>
  </si>
  <si>
    <t>317+378</t>
  </si>
  <si>
    <t>317+474</t>
  </si>
  <si>
    <t>317+820</t>
  </si>
  <si>
    <t>318+406</t>
  </si>
  <si>
    <t>318+648</t>
  </si>
  <si>
    <t>318+827</t>
  </si>
  <si>
    <t>ściek skarpowy 2 szt.</t>
  </si>
  <si>
    <t>ściek skarpowy 4szt.</t>
  </si>
  <si>
    <t>315+700</t>
  </si>
  <si>
    <t>316+020</t>
  </si>
  <si>
    <t>317+000</t>
  </si>
  <si>
    <t>317+200</t>
  </si>
  <si>
    <t>krawężnik pas rozdzielający</t>
  </si>
  <si>
    <t xml:space="preserve">krawężnik </t>
  </si>
  <si>
    <t>317+900</t>
  </si>
  <si>
    <t>318+300</t>
  </si>
  <si>
    <t>319+035</t>
  </si>
  <si>
    <t>318+860</t>
  </si>
  <si>
    <t>322+010</t>
  </si>
  <si>
    <t>322+035</t>
  </si>
  <si>
    <t>322+545</t>
  </si>
  <si>
    <t>322+645</t>
  </si>
  <si>
    <t>323+900</t>
  </si>
  <si>
    <t>323+750</t>
  </si>
  <si>
    <t>326+000</t>
  </si>
  <si>
    <t xml:space="preserve">Zestawienie przepustów do czyszczenia </t>
  </si>
  <si>
    <t>długość</t>
  </si>
  <si>
    <t>L(m)</t>
  </si>
  <si>
    <t>Razem</t>
  </si>
  <si>
    <t xml:space="preserve">razem </t>
  </si>
  <si>
    <t>ścieki skarpowe</t>
  </si>
  <si>
    <t>311+706</t>
  </si>
  <si>
    <t>312+051</t>
  </si>
  <si>
    <t>Krawężnik pas rozdziału</t>
  </si>
  <si>
    <t>Zestawienie elementów prefabrykatów betonowych do remontu</t>
  </si>
  <si>
    <t>krawęzniki</t>
  </si>
  <si>
    <t xml:space="preserve">nawierzchnia peronu i dojście do przejścia dla pieszych </t>
  </si>
  <si>
    <t>311+925</t>
  </si>
  <si>
    <t>obrzeża betonowe peron zatoki i dojście do przejścia dla pieszych</t>
  </si>
  <si>
    <t xml:space="preserve">krawężnik zatoka przystankowa i przjeście dla pieszych </t>
  </si>
  <si>
    <r>
      <t>m</t>
    </r>
    <r>
      <rPr>
        <sz val="11"/>
        <color theme="1"/>
        <rFont val="Arial"/>
        <family val="2"/>
        <charset val="238"/>
      </rPr>
      <t>²</t>
    </r>
  </si>
  <si>
    <t>Ściek trójkątny łącznica w.Pieczoługi</t>
  </si>
  <si>
    <t>ściek trójkątny w obrebie przepustu w km 322+613</t>
  </si>
  <si>
    <t>ściek skarpowy         4 szt.w obrębie przepustu w km 322+613</t>
  </si>
  <si>
    <t>ściek skarpowy   4szt. łącznica w.Pieczoługi</t>
  </si>
  <si>
    <t>ściek trójkątny wjzad na stację paliw</t>
  </si>
  <si>
    <t>325+992</t>
  </si>
  <si>
    <t>Sciek trójkątny węzeł Modlin łącznica  "N"(na kierunku Warszawa-Płock po stronie lewej)</t>
  </si>
  <si>
    <t>Ściek skarpowy 6szt. Łącznica "N"węzeł Modlin łącznica  "N"(na kierunku Warszawa-Płock po stronie lewej)</t>
  </si>
  <si>
    <t>ściek trójkątny w pasie rozdziału</t>
  </si>
  <si>
    <t>325+840</t>
  </si>
  <si>
    <t>323+800</t>
  </si>
  <si>
    <t>323+880</t>
  </si>
  <si>
    <t>wykonanie obrukowań skarp rowu z elementów ażurowych -wjazd na stację paliw</t>
  </si>
  <si>
    <t xml:space="preserve">Razem </t>
  </si>
  <si>
    <t>sciek</t>
  </si>
  <si>
    <t>skarpy</t>
  </si>
  <si>
    <t>320+450</t>
  </si>
  <si>
    <t>320+625</t>
  </si>
  <si>
    <t>320+645</t>
  </si>
  <si>
    <t>320+850</t>
  </si>
  <si>
    <t>krawężnik wyspa przy zatoce</t>
  </si>
  <si>
    <t>320+480</t>
  </si>
  <si>
    <t xml:space="preserve">Ściek trójkątny-skrzyzowanie -wlot podporządkowany </t>
  </si>
  <si>
    <t xml:space="preserve">remont nawierzchni chodników, peronów ,przejśc dla pieszych w obrębie skrzyżowań </t>
  </si>
  <si>
    <t>315+727    317+200    318+075   318+730   320+480</t>
  </si>
  <si>
    <t>316+893       317+210   318+100   318+847   320+670</t>
  </si>
  <si>
    <t xml:space="preserve">remont obrzeży  </t>
  </si>
  <si>
    <t xml:space="preserve">remont krawężników  </t>
  </si>
  <si>
    <t xml:space="preserve">remont nawierzchni w pasie rozdziału w obębie skrzyżowań </t>
  </si>
  <si>
    <t>315+750  318+738   320+500</t>
  </si>
  <si>
    <t>315+990 318+970    320+850</t>
  </si>
  <si>
    <t>Φ(m)</t>
  </si>
  <si>
    <t>Φ (m)</t>
  </si>
  <si>
    <t>L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</si>
</sst>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12" xfId="0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" xfId="0" applyBorder="1" applyAlignment="1">
      <alignment horizontal="center" vertical="center"/>
    </xf>
    <xf numFmtId="0" fontId="0" fillId="0" borderId="12" xfId="0" applyBorder="1"/>
    <xf numFmtId="0" fontId="0" fillId="0" borderId="1" xfId="0" applyFill="1" applyBorder="1"/>
    <xf numFmtId="0" fontId="0" fillId="0" borderId="0" xfId="0" applyFill="1" applyBorder="1"/>
    <xf numFmtId="0" fontId="0" fillId="0" borderId="2" xfId="0" applyBorder="1"/>
    <xf numFmtId="0" fontId="0" fillId="0" borderId="1" xfId="0" applyFill="1" applyBorder="1" applyAlignment="1">
      <alignment horizontal="center" vertical="center"/>
    </xf>
    <xf numFmtId="0" fontId="0" fillId="0" borderId="11" xfId="0" applyFill="1" applyBorder="1"/>
    <xf numFmtId="0" fontId="0" fillId="0" borderId="0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9" xfId="0" applyFill="1" applyBorder="1"/>
    <xf numFmtId="0" fontId="0" fillId="0" borderId="9" xfId="0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15" xfId="0" applyFill="1" applyBorder="1"/>
    <xf numFmtId="0" fontId="3" fillId="0" borderId="16" xfId="0" applyFont="1" applyBorder="1"/>
    <xf numFmtId="2" fontId="0" fillId="0" borderId="17" xfId="0" applyNumberFormat="1" applyBorder="1"/>
    <xf numFmtId="2" fontId="0" fillId="0" borderId="5" xfId="0" applyNumberFormat="1" applyBorder="1"/>
    <xf numFmtId="2" fontId="0" fillId="0" borderId="7" xfId="0" applyNumberFormat="1" applyBorder="1"/>
    <xf numFmtId="2" fontId="0" fillId="0" borderId="10" xfId="0" applyNumberFormat="1" applyBorder="1"/>
    <xf numFmtId="0" fontId="0" fillId="0" borderId="16" xfId="0" applyBorder="1"/>
    <xf numFmtId="0" fontId="4" fillId="0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0" fillId="0" borderId="0" xfId="0" applyBorder="1" applyAlignment="1">
      <alignment vertical="center" textRotation="90" wrapText="1"/>
    </xf>
    <xf numFmtId="0" fontId="5" fillId="0" borderId="0" xfId="0" applyFont="1"/>
    <xf numFmtId="0" fontId="0" fillId="0" borderId="18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9" xfId="0" applyBorder="1" applyAlignment="1">
      <alignment vertical="center" textRotation="90" wrapText="1"/>
    </xf>
    <xf numFmtId="0" fontId="0" fillId="0" borderId="2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Border="1"/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topLeftCell="A22" workbookViewId="0">
      <selection activeCell="B21" sqref="B21"/>
    </sheetView>
  </sheetViews>
  <sheetFormatPr defaultRowHeight="15" x14ac:dyDescent="0.25"/>
  <cols>
    <col min="2" max="2" width="22" customWidth="1"/>
    <col min="3" max="3" width="14.7109375" customWidth="1"/>
    <col min="4" max="4" width="12.85546875" customWidth="1"/>
    <col min="5" max="5" width="7.7109375" bestFit="1" customWidth="1"/>
    <col min="7" max="7" width="35.85546875" customWidth="1"/>
  </cols>
  <sheetData>
    <row r="1" spans="1:25" ht="18.75" x14ac:dyDescent="0.3">
      <c r="A1" s="44" t="s">
        <v>2</v>
      </c>
      <c r="B1" s="44"/>
      <c r="C1" s="44"/>
    </row>
    <row r="2" spans="1:25" x14ac:dyDescent="0.25">
      <c r="S2" t="s">
        <v>78</v>
      </c>
      <c r="T2" t="s">
        <v>79</v>
      </c>
      <c r="U2" t="s">
        <v>80</v>
      </c>
    </row>
    <row r="3" spans="1:25" x14ac:dyDescent="0.25">
      <c r="A3" s="43"/>
      <c r="B3" t="s">
        <v>126</v>
      </c>
      <c r="X3">
        <f>0.5*(8+3.5)*6</f>
        <v>34.5</v>
      </c>
    </row>
    <row r="4" spans="1:25" x14ac:dyDescent="0.25">
      <c r="A4" s="43"/>
      <c r="W4">
        <f>311.8-309.66</f>
        <v>2.1399999999999864</v>
      </c>
      <c r="Y4">
        <f>313.52-311.9</f>
        <v>1.6200000000000045</v>
      </c>
    </row>
    <row r="5" spans="1:25" x14ac:dyDescent="0.25">
      <c r="B5" s="52" t="s">
        <v>0</v>
      </c>
      <c r="C5" s="52"/>
      <c r="D5" s="52" t="s">
        <v>1</v>
      </c>
      <c r="E5" s="53" t="s">
        <v>173</v>
      </c>
      <c r="F5" s="53" t="s">
        <v>128</v>
      </c>
    </row>
    <row r="6" spans="1:25" x14ac:dyDescent="0.25">
      <c r="A6" s="43"/>
      <c r="B6" s="8">
        <v>1</v>
      </c>
      <c r="C6" s="8"/>
      <c r="D6" s="1" t="s">
        <v>5</v>
      </c>
      <c r="E6" s="1">
        <v>150</v>
      </c>
      <c r="F6" s="1">
        <v>40</v>
      </c>
    </row>
    <row r="7" spans="1:25" x14ac:dyDescent="0.25">
      <c r="A7" s="43"/>
      <c r="B7" s="8">
        <v>2</v>
      </c>
      <c r="C7" s="8"/>
      <c r="D7" s="1" t="s">
        <v>12</v>
      </c>
      <c r="E7" s="1">
        <v>150</v>
      </c>
      <c r="F7" s="1">
        <v>40</v>
      </c>
    </row>
    <row r="8" spans="1:25" ht="29.25" customHeight="1" x14ac:dyDescent="0.25">
      <c r="A8" s="43"/>
      <c r="B8" s="8">
        <v>3</v>
      </c>
      <c r="C8" s="8"/>
      <c r="D8" s="1" t="s">
        <v>13</v>
      </c>
      <c r="E8" s="1">
        <v>150</v>
      </c>
      <c r="F8" s="1">
        <v>40</v>
      </c>
    </row>
    <row r="9" spans="1:25" x14ac:dyDescent="0.25">
      <c r="A9" s="43"/>
      <c r="B9" s="8">
        <v>4</v>
      </c>
      <c r="C9" s="8"/>
      <c r="D9" s="1" t="s">
        <v>14</v>
      </c>
      <c r="E9" s="1">
        <v>150</v>
      </c>
      <c r="F9" s="1">
        <v>40</v>
      </c>
    </row>
    <row r="10" spans="1:25" x14ac:dyDescent="0.25">
      <c r="A10" s="43"/>
      <c r="B10" s="8">
        <v>5</v>
      </c>
      <c r="C10" s="8"/>
      <c r="D10" s="1" t="s">
        <v>15</v>
      </c>
      <c r="E10" s="1">
        <v>150</v>
      </c>
      <c r="F10" s="1">
        <v>40</v>
      </c>
    </row>
    <row r="11" spans="1:25" x14ac:dyDescent="0.25">
      <c r="A11" s="43"/>
      <c r="B11" s="8">
        <v>6</v>
      </c>
      <c r="C11" s="8"/>
      <c r="D11" s="1" t="s">
        <v>73</v>
      </c>
      <c r="E11" s="1">
        <v>60</v>
      </c>
      <c r="F11" s="1">
        <v>20</v>
      </c>
    </row>
    <row r="12" spans="1:25" ht="34.5" customHeight="1" x14ac:dyDescent="0.25">
      <c r="A12" s="43"/>
      <c r="B12" s="8">
        <v>7</v>
      </c>
      <c r="C12" s="8"/>
      <c r="D12" s="24" t="s">
        <v>36</v>
      </c>
      <c r="E12" s="1">
        <v>50</v>
      </c>
      <c r="F12" s="1">
        <v>4</v>
      </c>
      <c r="G12" s="16"/>
    </row>
    <row r="13" spans="1:25" ht="32.25" customHeight="1" x14ac:dyDescent="0.25">
      <c r="A13" s="43"/>
      <c r="B13" s="8">
        <v>8</v>
      </c>
      <c r="C13" s="8"/>
      <c r="D13" s="24" t="s">
        <v>38</v>
      </c>
      <c r="E13" s="1">
        <v>60</v>
      </c>
      <c r="F13" s="1">
        <v>12</v>
      </c>
      <c r="G13" s="16"/>
    </row>
    <row r="14" spans="1:25" x14ac:dyDescent="0.25">
      <c r="A14" s="43"/>
      <c r="B14" s="8">
        <v>9</v>
      </c>
      <c r="C14" s="8"/>
      <c r="D14" s="24" t="s">
        <v>38</v>
      </c>
      <c r="E14" s="1">
        <v>60</v>
      </c>
      <c r="F14" s="1">
        <v>12</v>
      </c>
      <c r="G14" s="17"/>
    </row>
    <row r="15" spans="1:25" x14ac:dyDescent="0.25">
      <c r="A15" s="43"/>
      <c r="B15" s="8">
        <v>10</v>
      </c>
      <c r="C15" s="8"/>
      <c r="D15" s="24" t="s">
        <v>40</v>
      </c>
      <c r="E15" s="1">
        <v>40</v>
      </c>
      <c r="F15" s="1">
        <v>6</v>
      </c>
      <c r="G15" s="17"/>
    </row>
    <row r="16" spans="1:25" x14ac:dyDescent="0.25">
      <c r="A16" s="43"/>
      <c r="B16" s="8">
        <v>11</v>
      </c>
      <c r="C16" s="8"/>
      <c r="D16" s="24" t="s">
        <v>40</v>
      </c>
      <c r="E16" s="1">
        <v>40</v>
      </c>
      <c r="F16" s="1">
        <v>6</v>
      </c>
    </row>
    <row r="17" spans="1:6" x14ac:dyDescent="0.25">
      <c r="A17" s="43"/>
      <c r="B17" s="8">
        <v>12</v>
      </c>
      <c r="C17" s="8"/>
      <c r="D17" s="24" t="s">
        <v>43</v>
      </c>
      <c r="E17" s="24">
        <v>150</v>
      </c>
      <c r="F17" s="24">
        <v>40</v>
      </c>
    </row>
    <row r="18" spans="1:6" x14ac:dyDescent="0.25">
      <c r="A18" s="15"/>
      <c r="B18" s="58" t="s">
        <v>129</v>
      </c>
      <c r="C18" s="59"/>
      <c r="D18" s="59"/>
      <c r="E18" s="60"/>
      <c r="F18" s="54">
        <f>SUM(F6:F17)</f>
        <v>300</v>
      </c>
    </row>
    <row r="19" spans="1:6" x14ac:dyDescent="0.25">
      <c r="A19" s="15"/>
      <c r="B19" s="12"/>
      <c r="C19" s="12"/>
      <c r="D19" s="25"/>
      <c r="E19" s="10"/>
      <c r="F19" s="55"/>
    </row>
    <row r="20" spans="1:6" x14ac:dyDescent="0.25">
      <c r="A20" s="15"/>
      <c r="B20" s="12"/>
      <c r="C20" s="12"/>
      <c r="D20" s="25"/>
      <c r="E20" s="10"/>
      <c r="F20" s="55"/>
    </row>
    <row r="21" spans="1:6" x14ac:dyDescent="0.25">
      <c r="B21" t="s">
        <v>135</v>
      </c>
    </row>
    <row r="22" spans="1:6" x14ac:dyDescent="0.25">
      <c r="C22" s="27" t="s">
        <v>83</v>
      </c>
      <c r="D22" s="1" t="s">
        <v>84</v>
      </c>
      <c r="E22" s="1" t="s">
        <v>127</v>
      </c>
      <c r="F22" s="1" t="s">
        <v>81</v>
      </c>
    </row>
    <row r="23" spans="1:6" x14ac:dyDescent="0.25">
      <c r="B23" s="1" t="s">
        <v>82</v>
      </c>
      <c r="C23" s="27" t="s">
        <v>85</v>
      </c>
      <c r="D23" s="1" t="s">
        <v>92</v>
      </c>
      <c r="E23" s="1">
        <f>870-830</f>
        <v>40</v>
      </c>
      <c r="F23" s="1" t="s">
        <v>30</v>
      </c>
    </row>
    <row r="24" spans="1:6" x14ac:dyDescent="0.25">
      <c r="B24" s="1" t="s">
        <v>87</v>
      </c>
      <c r="C24" s="27" t="s">
        <v>85</v>
      </c>
      <c r="D24" s="1" t="s">
        <v>90</v>
      </c>
      <c r="E24" s="1">
        <v>24</v>
      </c>
      <c r="F24" s="1" t="s">
        <v>30</v>
      </c>
    </row>
    <row r="25" spans="1:6" x14ac:dyDescent="0.25">
      <c r="B25" s="1" t="s">
        <v>82</v>
      </c>
      <c r="C25" s="27" t="s">
        <v>88</v>
      </c>
      <c r="D25" s="1" t="s">
        <v>91</v>
      </c>
      <c r="E25" s="1">
        <v>40</v>
      </c>
      <c r="F25" s="1" t="s">
        <v>30</v>
      </c>
    </row>
    <row r="26" spans="1:6" x14ac:dyDescent="0.25">
      <c r="B26" s="1" t="s">
        <v>87</v>
      </c>
      <c r="C26" s="27" t="s">
        <v>88</v>
      </c>
      <c r="D26" s="1" t="s">
        <v>89</v>
      </c>
      <c r="E26" s="1">
        <v>28</v>
      </c>
      <c r="F26" s="1" t="s">
        <v>30</v>
      </c>
    </row>
    <row r="27" spans="1:6" x14ac:dyDescent="0.25">
      <c r="B27" s="1" t="s">
        <v>82</v>
      </c>
      <c r="C27" s="27" t="s">
        <v>93</v>
      </c>
      <c r="D27" s="1" t="s">
        <v>94</v>
      </c>
      <c r="E27" s="1">
        <v>6</v>
      </c>
      <c r="F27" s="1" t="s">
        <v>30</v>
      </c>
    </row>
    <row r="28" spans="1:6" x14ac:dyDescent="0.25">
      <c r="B28" s="1" t="s">
        <v>87</v>
      </c>
      <c r="C28" s="27" t="s">
        <v>93</v>
      </c>
      <c r="D28" s="1" t="s">
        <v>94</v>
      </c>
      <c r="E28" s="1">
        <v>28</v>
      </c>
      <c r="F28" s="1" t="s">
        <v>30</v>
      </c>
    </row>
    <row r="29" spans="1:6" x14ac:dyDescent="0.25">
      <c r="B29" s="26" t="s">
        <v>134</v>
      </c>
      <c r="C29" s="27" t="s">
        <v>132</v>
      </c>
      <c r="D29" s="1" t="s">
        <v>133</v>
      </c>
      <c r="E29" s="1">
        <v>345</v>
      </c>
      <c r="F29" s="1" t="s">
        <v>30</v>
      </c>
    </row>
    <row r="30" spans="1:6" ht="45" x14ac:dyDescent="0.25">
      <c r="B30" s="51" t="s">
        <v>137</v>
      </c>
      <c r="C30" s="27" t="s">
        <v>36</v>
      </c>
      <c r="D30" s="1" t="s">
        <v>138</v>
      </c>
      <c r="E30" s="1">
        <v>154.69999999999999</v>
      </c>
      <c r="F30" s="1" t="s">
        <v>141</v>
      </c>
    </row>
    <row r="31" spans="1:6" ht="60" x14ac:dyDescent="0.25">
      <c r="B31" s="51" t="s">
        <v>139</v>
      </c>
      <c r="C31" s="27" t="s">
        <v>36</v>
      </c>
      <c r="D31" s="1" t="s">
        <v>138</v>
      </c>
      <c r="E31" s="1">
        <v>122</v>
      </c>
      <c r="F31" s="1" t="s">
        <v>30</v>
      </c>
    </row>
    <row r="32" spans="1:6" ht="45" x14ac:dyDescent="0.25">
      <c r="B32" s="11" t="s">
        <v>140</v>
      </c>
      <c r="C32" s="27" t="s">
        <v>95</v>
      </c>
      <c r="D32" s="1" t="s">
        <v>138</v>
      </c>
      <c r="E32" s="1">
        <v>68</v>
      </c>
      <c r="F32" s="1" t="s">
        <v>30</v>
      </c>
    </row>
    <row r="34" spans="2:5" x14ac:dyDescent="0.25">
      <c r="B34" t="s">
        <v>49</v>
      </c>
      <c r="C34" s="29" t="s">
        <v>130</v>
      </c>
      <c r="E34">
        <f>E23+E25+E27</f>
        <v>86</v>
      </c>
    </row>
    <row r="35" spans="2:5" x14ac:dyDescent="0.25">
      <c r="B35" t="s">
        <v>131</v>
      </c>
      <c r="E35">
        <f>E24+E26+E28</f>
        <v>80</v>
      </c>
    </row>
    <row r="36" spans="2:5" x14ac:dyDescent="0.25">
      <c r="B36" t="s">
        <v>136</v>
      </c>
      <c r="E36">
        <f>E29+E32</f>
        <v>413</v>
      </c>
    </row>
  </sheetData>
  <mergeCells count="1">
    <mergeCell ref="B18:E18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52" workbookViewId="0">
      <selection activeCell="K50" sqref="K50"/>
    </sheetView>
  </sheetViews>
  <sheetFormatPr defaultRowHeight="15" x14ac:dyDescent="0.25"/>
  <cols>
    <col min="3" max="3" width="14.28515625" customWidth="1"/>
    <col min="4" max="4" width="14.42578125" customWidth="1"/>
    <col min="5" max="5" width="12.28515625" customWidth="1"/>
    <col min="7" max="7" width="23.7109375" customWidth="1"/>
  </cols>
  <sheetData>
    <row r="1" spans="1:7" ht="18.75" x14ac:dyDescent="0.3">
      <c r="A1" s="44" t="s">
        <v>3</v>
      </c>
    </row>
    <row r="3" spans="1:7" x14ac:dyDescent="0.25">
      <c r="B3" t="s">
        <v>126</v>
      </c>
    </row>
    <row r="4" spans="1:7" ht="36.75" customHeight="1" x14ac:dyDescent="0.25">
      <c r="B4" s="62" t="s">
        <v>0</v>
      </c>
      <c r="C4" s="62"/>
      <c r="D4" s="52" t="s">
        <v>1</v>
      </c>
      <c r="E4" s="53" t="s">
        <v>174</v>
      </c>
      <c r="F4" s="53" t="s">
        <v>175</v>
      </c>
    </row>
    <row r="5" spans="1:7" x14ac:dyDescent="0.25">
      <c r="A5" s="47"/>
      <c r="B5" s="61">
        <v>1</v>
      </c>
      <c r="C5" s="61"/>
      <c r="D5" s="1" t="s">
        <v>16</v>
      </c>
      <c r="E5" s="1">
        <v>150</v>
      </c>
      <c r="F5" s="1">
        <v>40</v>
      </c>
    </row>
    <row r="6" spans="1:7" ht="63.75" customHeight="1" x14ac:dyDescent="0.25">
      <c r="A6" s="47"/>
      <c r="B6" s="61">
        <v>2</v>
      </c>
      <c r="C6" s="61"/>
      <c r="D6" s="1" t="s">
        <v>17</v>
      </c>
      <c r="E6" s="1">
        <v>60</v>
      </c>
      <c r="F6" s="1">
        <v>15</v>
      </c>
    </row>
    <row r="7" spans="1:7" x14ac:dyDescent="0.25">
      <c r="A7" s="47"/>
      <c r="B7" s="61">
        <v>3</v>
      </c>
      <c r="C7" s="61"/>
      <c r="D7" s="1" t="s">
        <v>19</v>
      </c>
      <c r="E7" s="1">
        <v>150</v>
      </c>
      <c r="F7" s="1">
        <v>40</v>
      </c>
    </row>
    <row r="8" spans="1:7" x14ac:dyDescent="0.25">
      <c r="A8" s="47"/>
      <c r="B8" s="61">
        <v>4</v>
      </c>
      <c r="C8" s="61"/>
      <c r="D8" s="1" t="s">
        <v>20</v>
      </c>
      <c r="E8" s="1">
        <v>150</v>
      </c>
      <c r="F8" s="1">
        <v>40</v>
      </c>
    </row>
    <row r="9" spans="1:7" ht="45.75" customHeight="1" x14ac:dyDescent="0.25">
      <c r="A9" s="47"/>
      <c r="B9" s="61">
        <v>5</v>
      </c>
      <c r="C9" s="61"/>
      <c r="D9" s="1" t="s">
        <v>21</v>
      </c>
      <c r="E9" s="1">
        <v>150</v>
      </c>
      <c r="F9" s="1">
        <v>40</v>
      </c>
      <c r="G9" s="16"/>
    </row>
    <row r="10" spans="1:7" ht="57.75" customHeight="1" x14ac:dyDescent="0.25">
      <c r="A10" s="47"/>
      <c r="B10" s="61">
        <v>6</v>
      </c>
      <c r="C10" s="61"/>
      <c r="D10" s="24" t="s">
        <v>46</v>
      </c>
      <c r="E10" s="1">
        <v>40</v>
      </c>
      <c r="F10" s="1">
        <v>20</v>
      </c>
      <c r="G10" s="16"/>
    </row>
    <row r="11" spans="1:7" x14ac:dyDescent="0.25">
      <c r="A11" s="47"/>
      <c r="B11" s="61">
        <v>7</v>
      </c>
      <c r="C11" s="61"/>
      <c r="D11" s="24" t="s">
        <v>46</v>
      </c>
      <c r="E11" s="1">
        <v>60</v>
      </c>
      <c r="F11" s="1">
        <v>11</v>
      </c>
      <c r="G11" s="16"/>
    </row>
    <row r="12" spans="1:7" x14ac:dyDescent="0.25">
      <c r="A12" s="47"/>
      <c r="B12" s="61">
        <v>8</v>
      </c>
      <c r="C12" s="61"/>
      <c r="D12" s="24" t="s">
        <v>59</v>
      </c>
      <c r="E12" s="1">
        <v>40</v>
      </c>
      <c r="F12" s="1">
        <v>6</v>
      </c>
      <c r="G12" s="17"/>
    </row>
    <row r="13" spans="1:7" x14ac:dyDescent="0.25">
      <c r="A13" s="47"/>
      <c r="B13" s="61">
        <v>9</v>
      </c>
      <c r="C13" s="61"/>
      <c r="D13" s="24" t="s">
        <v>60</v>
      </c>
      <c r="E13" s="1">
        <v>60</v>
      </c>
      <c r="F13" s="1">
        <v>15</v>
      </c>
      <c r="G13" s="17"/>
    </row>
    <row r="14" spans="1:7" x14ac:dyDescent="0.25">
      <c r="A14" s="47"/>
      <c r="B14" s="61">
        <v>10</v>
      </c>
      <c r="C14" s="61"/>
      <c r="D14" s="24" t="s">
        <v>60</v>
      </c>
      <c r="E14" s="1">
        <v>60</v>
      </c>
      <c r="F14" s="1">
        <v>15</v>
      </c>
      <c r="G14" s="17"/>
    </row>
    <row r="15" spans="1:7" ht="35.25" customHeight="1" x14ac:dyDescent="0.25">
      <c r="A15" s="47"/>
      <c r="B15" s="61">
        <v>11</v>
      </c>
      <c r="C15" s="61"/>
      <c r="D15" s="24" t="s">
        <v>62</v>
      </c>
      <c r="E15" s="1">
        <v>60</v>
      </c>
      <c r="F15" s="1">
        <v>20</v>
      </c>
      <c r="G15" s="16"/>
    </row>
    <row r="16" spans="1:7" x14ac:dyDescent="0.25">
      <c r="A16" s="47"/>
      <c r="B16" s="61">
        <v>12</v>
      </c>
      <c r="C16" s="61"/>
      <c r="D16" s="24" t="s">
        <v>62</v>
      </c>
      <c r="E16" s="1">
        <v>60</v>
      </c>
      <c r="F16" s="1">
        <v>11</v>
      </c>
    </row>
    <row r="17" spans="1:7" x14ac:dyDescent="0.25">
      <c r="A17" s="47"/>
      <c r="B17" s="61">
        <v>13</v>
      </c>
      <c r="C17" s="61"/>
      <c r="D17" s="24" t="s">
        <v>65</v>
      </c>
      <c r="E17" s="1">
        <v>60</v>
      </c>
      <c r="F17" s="1">
        <v>11</v>
      </c>
    </row>
    <row r="18" spans="1:7" x14ac:dyDescent="0.25">
      <c r="A18" s="47"/>
      <c r="B18" s="61">
        <v>14</v>
      </c>
      <c r="C18" s="61"/>
      <c r="D18" s="24" t="s">
        <v>65</v>
      </c>
      <c r="E18" s="1">
        <v>60</v>
      </c>
      <c r="F18" s="1">
        <v>11</v>
      </c>
    </row>
    <row r="19" spans="1:7" x14ac:dyDescent="0.25">
      <c r="A19" s="47"/>
      <c r="B19" s="61">
        <v>15</v>
      </c>
      <c r="C19" s="61"/>
      <c r="D19" s="24" t="s">
        <v>72</v>
      </c>
      <c r="E19" s="1">
        <v>60</v>
      </c>
      <c r="F19" s="1">
        <v>12</v>
      </c>
    </row>
    <row r="20" spans="1:7" x14ac:dyDescent="0.25">
      <c r="A20" s="47"/>
      <c r="B20" s="61">
        <v>16</v>
      </c>
      <c r="C20" s="61"/>
      <c r="D20" s="24" t="s">
        <v>72</v>
      </c>
      <c r="E20" s="1">
        <v>60</v>
      </c>
      <c r="F20" s="1">
        <v>12</v>
      </c>
    </row>
    <row r="21" spans="1:7" x14ac:dyDescent="0.25">
      <c r="A21" s="15"/>
      <c r="B21" s="29"/>
      <c r="C21" s="25"/>
      <c r="D21" s="24" t="s">
        <v>155</v>
      </c>
      <c r="E21" s="1"/>
      <c r="F21" s="1">
        <f>SUM(F5:F20)</f>
        <v>319</v>
      </c>
    </row>
    <row r="24" spans="1:7" x14ac:dyDescent="0.25">
      <c r="B24" t="s">
        <v>135</v>
      </c>
    </row>
    <row r="25" spans="1:7" x14ac:dyDescent="0.25">
      <c r="D25" s="27" t="s">
        <v>83</v>
      </c>
      <c r="E25" s="1" t="s">
        <v>84</v>
      </c>
      <c r="F25" s="1" t="s">
        <v>86</v>
      </c>
      <c r="G25" s="1" t="s">
        <v>81</v>
      </c>
    </row>
    <row r="26" spans="1:7" x14ac:dyDescent="0.25">
      <c r="C26" s="1" t="s">
        <v>82</v>
      </c>
      <c r="D26" s="27" t="s">
        <v>96</v>
      </c>
      <c r="E26" s="1" t="s">
        <v>98</v>
      </c>
      <c r="F26" s="1">
        <f>870-320</f>
        <v>550</v>
      </c>
      <c r="G26" s="8" t="s">
        <v>30</v>
      </c>
    </row>
    <row r="27" spans="1:7" x14ac:dyDescent="0.25">
      <c r="C27" s="1" t="s">
        <v>82</v>
      </c>
      <c r="D27" s="27" t="s">
        <v>99</v>
      </c>
      <c r="E27" s="1" t="s">
        <v>100</v>
      </c>
      <c r="F27" s="1">
        <v>120</v>
      </c>
      <c r="G27" s="8" t="s">
        <v>30</v>
      </c>
    </row>
    <row r="28" spans="1:7" ht="30" customHeight="1" x14ac:dyDescent="0.25">
      <c r="C28" s="11" t="s">
        <v>107</v>
      </c>
      <c r="D28" s="27" t="s">
        <v>99</v>
      </c>
      <c r="E28" s="14" t="s">
        <v>100</v>
      </c>
      <c r="F28" s="1">
        <v>8</v>
      </c>
      <c r="G28" s="8" t="s">
        <v>30</v>
      </c>
    </row>
    <row r="29" spans="1:7" x14ac:dyDescent="0.25">
      <c r="C29" s="1" t="s">
        <v>82</v>
      </c>
      <c r="D29" s="27" t="s">
        <v>101</v>
      </c>
      <c r="E29" s="1" t="s">
        <v>102</v>
      </c>
      <c r="F29" s="1">
        <f>474-378</f>
        <v>96</v>
      </c>
      <c r="G29" s="8" t="s">
        <v>30</v>
      </c>
    </row>
    <row r="30" spans="1:7" ht="34.5" customHeight="1" x14ac:dyDescent="0.25">
      <c r="C30" s="11" t="s">
        <v>108</v>
      </c>
      <c r="D30" s="27" t="s">
        <v>101</v>
      </c>
      <c r="E30" s="14" t="s">
        <v>102</v>
      </c>
      <c r="F30" s="1">
        <v>16</v>
      </c>
      <c r="G30" s="8" t="s">
        <v>30</v>
      </c>
    </row>
    <row r="31" spans="1:7" x14ac:dyDescent="0.25">
      <c r="C31" s="1" t="s">
        <v>82</v>
      </c>
      <c r="D31" s="27" t="s">
        <v>103</v>
      </c>
      <c r="E31" s="1" t="s">
        <v>104</v>
      </c>
      <c r="F31" s="1">
        <f>8406-7820</f>
        <v>586</v>
      </c>
      <c r="G31" s="8" t="s">
        <v>30</v>
      </c>
    </row>
    <row r="32" spans="1:7" x14ac:dyDescent="0.25">
      <c r="C32" s="26" t="s">
        <v>82</v>
      </c>
      <c r="D32" s="27" t="s">
        <v>105</v>
      </c>
      <c r="E32" s="1" t="s">
        <v>106</v>
      </c>
      <c r="F32" s="1">
        <f>827-648</f>
        <v>179</v>
      </c>
      <c r="G32" s="8" t="s">
        <v>30</v>
      </c>
    </row>
    <row r="33" spans="3:7" ht="30" x14ac:dyDescent="0.25">
      <c r="C33" s="48" t="s">
        <v>113</v>
      </c>
      <c r="D33" s="27" t="s">
        <v>109</v>
      </c>
      <c r="E33" s="49" t="s">
        <v>110</v>
      </c>
      <c r="F33" s="49">
        <v>320</v>
      </c>
      <c r="G33" s="8" t="s">
        <v>30</v>
      </c>
    </row>
    <row r="34" spans="3:7" ht="30" x14ac:dyDescent="0.25">
      <c r="C34" s="50" t="s">
        <v>113</v>
      </c>
      <c r="D34" s="27" t="s">
        <v>109</v>
      </c>
      <c r="E34" s="49" t="s">
        <v>110</v>
      </c>
      <c r="F34" s="49">
        <v>320</v>
      </c>
      <c r="G34" s="8" t="s">
        <v>30</v>
      </c>
    </row>
    <row r="35" spans="3:7" x14ac:dyDescent="0.25">
      <c r="C35" s="49" t="s">
        <v>29</v>
      </c>
      <c r="D35" s="27" t="s">
        <v>110</v>
      </c>
      <c r="E35" s="24" t="s">
        <v>97</v>
      </c>
      <c r="F35" s="24">
        <v>50</v>
      </c>
      <c r="G35" s="8" t="s">
        <v>30</v>
      </c>
    </row>
    <row r="36" spans="3:7" x14ac:dyDescent="0.25">
      <c r="C36" s="50" t="s">
        <v>114</v>
      </c>
      <c r="D36" s="27" t="s">
        <v>111</v>
      </c>
      <c r="E36" s="49" t="s">
        <v>112</v>
      </c>
      <c r="F36" s="49">
        <v>200</v>
      </c>
      <c r="G36" s="8" t="s">
        <v>30</v>
      </c>
    </row>
    <row r="37" spans="3:7" ht="30" x14ac:dyDescent="0.25">
      <c r="C37" s="50" t="s">
        <v>113</v>
      </c>
      <c r="D37" s="27" t="s">
        <v>115</v>
      </c>
      <c r="E37" s="49" t="s">
        <v>116</v>
      </c>
      <c r="F37" s="49">
        <v>400</v>
      </c>
      <c r="G37" s="8" t="s">
        <v>30</v>
      </c>
    </row>
    <row r="38" spans="3:7" ht="30" x14ac:dyDescent="0.25">
      <c r="C38" s="50" t="s">
        <v>113</v>
      </c>
      <c r="D38" s="27" t="s">
        <v>115</v>
      </c>
      <c r="E38" s="49" t="s">
        <v>116</v>
      </c>
      <c r="F38" s="49">
        <v>400</v>
      </c>
      <c r="G38" s="8" t="s">
        <v>30</v>
      </c>
    </row>
    <row r="39" spans="3:7" ht="30" x14ac:dyDescent="0.25">
      <c r="C39" s="50" t="s">
        <v>113</v>
      </c>
      <c r="D39" s="27" t="s">
        <v>105</v>
      </c>
      <c r="E39" s="14" t="s">
        <v>106</v>
      </c>
      <c r="F39" s="14">
        <v>180</v>
      </c>
      <c r="G39" s="8" t="s">
        <v>30</v>
      </c>
    </row>
    <row r="40" spans="3:7" ht="30" x14ac:dyDescent="0.25">
      <c r="C40" s="50" t="s">
        <v>113</v>
      </c>
      <c r="D40" s="27" t="s">
        <v>105</v>
      </c>
      <c r="E40" s="14" t="s">
        <v>106</v>
      </c>
      <c r="F40" s="49">
        <v>180</v>
      </c>
      <c r="G40" s="8" t="s">
        <v>30</v>
      </c>
    </row>
    <row r="41" spans="3:7" ht="30" x14ac:dyDescent="0.25">
      <c r="C41" s="50" t="s">
        <v>113</v>
      </c>
      <c r="D41" s="27" t="s">
        <v>118</v>
      </c>
      <c r="E41" s="49" t="s">
        <v>117</v>
      </c>
      <c r="F41" s="49">
        <v>180</v>
      </c>
      <c r="G41" s="8" t="s">
        <v>30</v>
      </c>
    </row>
    <row r="42" spans="3:7" ht="30" x14ac:dyDescent="0.25">
      <c r="C42" s="50" t="s">
        <v>113</v>
      </c>
      <c r="D42" s="27" t="s">
        <v>118</v>
      </c>
      <c r="E42" s="49" t="s">
        <v>117</v>
      </c>
      <c r="F42" s="49">
        <v>180</v>
      </c>
      <c r="G42" s="8" t="s">
        <v>30</v>
      </c>
    </row>
    <row r="43" spans="3:7" ht="45" x14ac:dyDescent="0.25">
      <c r="C43" s="50" t="s">
        <v>162</v>
      </c>
      <c r="D43" s="27" t="s">
        <v>163</v>
      </c>
      <c r="E43" s="49"/>
      <c r="F43" s="49">
        <v>90</v>
      </c>
      <c r="G43" s="8" t="s">
        <v>30</v>
      </c>
    </row>
    <row r="44" spans="3:7" ht="30" x14ac:dyDescent="0.25">
      <c r="C44" s="50" t="s">
        <v>113</v>
      </c>
      <c r="D44" s="27" t="s">
        <v>158</v>
      </c>
      <c r="E44" s="49" t="s">
        <v>159</v>
      </c>
      <c r="F44" s="49">
        <v>180</v>
      </c>
      <c r="G44" s="8" t="s">
        <v>30</v>
      </c>
    </row>
    <row r="45" spans="3:7" ht="30" x14ac:dyDescent="0.25">
      <c r="C45" s="50" t="s">
        <v>113</v>
      </c>
      <c r="D45" s="27" t="s">
        <v>158</v>
      </c>
      <c r="E45" s="49" t="s">
        <v>159</v>
      </c>
      <c r="F45" s="49">
        <v>180</v>
      </c>
      <c r="G45" s="8" t="s">
        <v>30</v>
      </c>
    </row>
    <row r="46" spans="3:7" ht="30" x14ac:dyDescent="0.25">
      <c r="C46" s="50" t="s">
        <v>113</v>
      </c>
      <c r="D46" s="27" t="s">
        <v>160</v>
      </c>
      <c r="E46" s="49" t="s">
        <v>161</v>
      </c>
      <c r="F46" s="49">
        <v>220</v>
      </c>
      <c r="G46" s="8" t="s">
        <v>30</v>
      </c>
    </row>
    <row r="47" spans="3:7" ht="30" x14ac:dyDescent="0.25">
      <c r="C47" s="50" t="s">
        <v>113</v>
      </c>
      <c r="D47" s="27" t="s">
        <v>160</v>
      </c>
      <c r="E47" s="49" t="s">
        <v>161</v>
      </c>
      <c r="F47" s="49">
        <v>220</v>
      </c>
      <c r="G47" s="8" t="s">
        <v>30</v>
      </c>
    </row>
    <row r="48" spans="3:7" ht="75" x14ac:dyDescent="0.25">
      <c r="C48" s="50" t="s">
        <v>170</v>
      </c>
      <c r="D48" s="57" t="s">
        <v>171</v>
      </c>
      <c r="E48" s="50" t="s">
        <v>172</v>
      </c>
      <c r="F48" s="49">
        <v>900</v>
      </c>
      <c r="G48" s="8" t="s">
        <v>30</v>
      </c>
    </row>
    <row r="49" spans="3:7" ht="75" x14ac:dyDescent="0.25">
      <c r="C49" s="50" t="s">
        <v>164</v>
      </c>
      <c r="D49" s="27" t="s">
        <v>65</v>
      </c>
      <c r="E49" s="49"/>
      <c r="F49" s="49">
        <v>30</v>
      </c>
      <c r="G49" s="8" t="s">
        <v>30</v>
      </c>
    </row>
    <row r="50" spans="3:7" ht="120" x14ac:dyDescent="0.25">
      <c r="C50" s="50" t="s">
        <v>165</v>
      </c>
      <c r="D50" s="57" t="s">
        <v>166</v>
      </c>
      <c r="E50" s="50" t="s">
        <v>167</v>
      </c>
      <c r="F50" s="49">
        <v>795</v>
      </c>
      <c r="G50" s="8" t="s">
        <v>30</v>
      </c>
    </row>
    <row r="51" spans="3:7" ht="75" x14ac:dyDescent="0.25">
      <c r="C51" s="50" t="s">
        <v>168</v>
      </c>
      <c r="D51" s="57" t="s">
        <v>166</v>
      </c>
      <c r="E51" s="50" t="s">
        <v>167</v>
      </c>
      <c r="F51" s="49">
        <v>500</v>
      </c>
      <c r="G51" s="8" t="s">
        <v>30</v>
      </c>
    </row>
    <row r="52" spans="3:7" ht="75" x14ac:dyDescent="0.25">
      <c r="C52" s="50" t="s">
        <v>169</v>
      </c>
      <c r="D52" s="57" t="s">
        <v>166</v>
      </c>
      <c r="E52" s="50" t="s">
        <v>167</v>
      </c>
      <c r="F52" s="50">
        <v>240</v>
      </c>
      <c r="G52" s="8" t="s">
        <v>30</v>
      </c>
    </row>
    <row r="55" spans="3:7" x14ac:dyDescent="0.25">
      <c r="E55" s="56" t="s">
        <v>156</v>
      </c>
      <c r="F55" s="56">
        <f>F26+F27+F29+F31+F32</f>
        <v>1531</v>
      </c>
    </row>
    <row r="56" spans="3:7" x14ac:dyDescent="0.25">
      <c r="E56" s="56" t="s">
        <v>157</v>
      </c>
      <c r="F56">
        <f>F28+F30</f>
        <v>24</v>
      </c>
    </row>
    <row r="57" spans="3:7" x14ac:dyDescent="0.25">
      <c r="E57" t="s">
        <v>29</v>
      </c>
      <c r="F57">
        <f>SUM(F33:F47)</f>
        <v>3300</v>
      </c>
    </row>
  </sheetData>
  <mergeCells count="17">
    <mergeCell ref="B16:C16"/>
    <mergeCell ref="B17:C17"/>
    <mergeCell ref="B18:C18"/>
    <mergeCell ref="B19:C19"/>
    <mergeCell ref="B20:C20"/>
    <mergeCell ref="B14:C14"/>
    <mergeCell ref="B15:C15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G12" sqref="G12"/>
    </sheetView>
  </sheetViews>
  <sheetFormatPr defaultRowHeight="15" x14ac:dyDescent="0.25"/>
  <cols>
    <col min="3" max="3" width="18.140625" customWidth="1"/>
    <col min="4" max="4" width="15.42578125" customWidth="1"/>
    <col min="5" max="5" width="12.5703125" customWidth="1"/>
    <col min="8" max="8" width="29" customWidth="1"/>
  </cols>
  <sheetData>
    <row r="1" spans="1:8" ht="18.75" x14ac:dyDescent="0.3">
      <c r="A1" s="44" t="s">
        <v>4</v>
      </c>
    </row>
    <row r="2" spans="1:8" ht="18.75" x14ac:dyDescent="0.3">
      <c r="A2" s="44"/>
    </row>
    <row r="3" spans="1:8" x14ac:dyDescent="0.25">
      <c r="B3" t="s">
        <v>126</v>
      </c>
    </row>
    <row r="4" spans="1:8" ht="15.75" thickBot="1" x14ac:dyDescent="0.3">
      <c r="B4" s="2" t="s">
        <v>0</v>
      </c>
      <c r="C4" s="2" t="s">
        <v>6</v>
      </c>
      <c r="D4" s="2" t="s">
        <v>1</v>
      </c>
      <c r="E4" s="30" t="s">
        <v>174</v>
      </c>
      <c r="F4" s="30" t="s">
        <v>175</v>
      </c>
      <c r="G4" s="10"/>
    </row>
    <row r="5" spans="1:8" x14ac:dyDescent="0.25">
      <c r="B5" s="7">
        <v>1</v>
      </c>
      <c r="C5" s="13"/>
      <c r="D5" s="28" t="s">
        <v>26</v>
      </c>
      <c r="E5" s="3">
        <v>150</v>
      </c>
      <c r="F5" s="4">
        <v>9</v>
      </c>
    </row>
    <row r="6" spans="1:8" ht="15.75" thickBot="1" x14ac:dyDescent="0.3">
      <c r="B6" s="9">
        <v>2</v>
      </c>
      <c r="C6" s="5"/>
      <c r="D6" s="21" t="s">
        <v>22</v>
      </c>
      <c r="E6" s="5">
        <v>150</v>
      </c>
      <c r="F6" s="6">
        <v>33</v>
      </c>
    </row>
    <row r="7" spans="1:8" x14ac:dyDescent="0.25">
      <c r="B7" s="12"/>
      <c r="C7" s="10"/>
      <c r="D7" s="10"/>
    </row>
    <row r="8" spans="1:8" x14ac:dyDescent="0.25">
      <c r="B8" s="12"/>
      <c r="C8" s="10"/>
      <c r="D8" s="10"/>
    </row>
    <row r="9" spans="1:8" x14ac:dyDescent="0.25">
      <c r="B9" s="12"/>
      <c r="C9" s="10"/>
      <c r="D9" s="10"/>
    </row>
    <row r="10" spans="1:8" x14ac:dyDescent="0.25">
      <c r="B10" t="s">
        <v>135</v>
      </c>
      <c r="C10" s="10"/>
      <c r="D10" s="10"/>
    </row>
    <row r="11" spans="1:8" x14ac:dyDescent="0.25">
      <c r="B11" s="12"/>
      <c r="D11" s="27" t="s">
        <v>83</v>
      </c>
      <c r="E11" s="1" t="s">
        <v>84</v>
      </c>
      <c r="F11" s="1" t="s">
        <v>86</v>
      </c>
      <c r="G11" s="1" t="s">
        <v>81</v>
      </c>
    </row>
    <row r="12" spans="1:8" ht="45" x14ac:dyDescent="0.25">
      <c r="C12" s="11" t="s">
        <v>142</v>
      </c>
      <c r="D12" s="27" t="s">
        <v>119</v>
      </c>
      <c r="E12" s="8" t="s">
        <v>120</v>
      </c>
      <c r="F12" s="8">
        <v>260</v>
      </c>
      <c r="G12" s="8" t="s">
        <v>30</v>
      </c>
    </row>
    <row r="13" spans="1:8" ht="45" x14ac:dyDescent="0.25">
      <c r="C13" s="11" t="s">
        <v>145</v>
      </c>
      <c r="D13" s="27" t="s">
        <v>119</v>
      </c>
      <c r="E13" s="8" t="s">
        <v>120</v>
      </c>
      <c r="F13" s="8">
        <v>40</v>
      </c>
      <c r="G13" s="8" t="s">
        <v>30</v>
      </c>
    </row>
    <row r="14" spans="1:8" ht="45" x14ac:dyDescent="0.25">
      <c r="C14" s="11" t="s">
        <v>143</v>
      </c>
      <c r="D14" s="27" t="s">
        <v>121</v>
      </c>
      <c r="E14" s="8" t="s">
        <v>122</v>
      </c>
      <c r="F14" s="8">
        <v>100</v>
      </c>
      <c r="G14" s="8" t="s">
        <v>30</v>
      </c>
      <c r="H14" s="17"/>
    </row>
    <row r="15" spans="1:8" ht="60" x14ac:dyDescent="0.25">
      <c r="C15" s="11" t="s">
        <v>144</v>
      </c>
      <c r="D15" s="27" t="s">
        <v>121</v>
      </c>
      <c r="E15" s="8" t="s">
        <v>122</v>
      </c>
      <c r="F15" s="8">
        <v>16</v>
      </c>
      <c r="G15" s="8" t="s">
        <v>30</v>
      </c>
      <c r="H15" s="17"/>
    </row>
    <row r="16" spans="1:8" ht="45" x14ac:dyDescent="0.25">
      <c r="C16" s="51" t="s">
        <v>146</v>
      </c>
      <c r="D16" s="45" t="s">
        <v>124</v>
      </c>
      <c r="E16" s="45" t="s">
        <v>123</v>
      </c>
      <c r="F16" s="45">
        <v>150</v>
      </c>
      <c r="G16" s="45" t="s">
        <v>30</v>
      </c>
    </row>
    <row r="17" spans="3:7" ht="90" x14ac:dyDescent="0.25">
      <c r="C17" s="46" t="s">
        <v>148</v>
      </c>
      <c r="D17" s="27" t="s">
        <v>147</v>
      </c>
      <c r="E17" s="27" t="s">
        <v>125</v>
      </c>
      <c r="F17" s="27">
        <v>400</v>
      </c>
      <c r="G17" s="27" t="s">
        <v>30</v>
      </c>
    </row>
    <row r="18" spans="3:7" ht="105" x14ac:dyDescent="0.25">
      <c r="C18" s="46" t="s">
        <v>149</v>
      </c>
      <c r="D18" s="27" t="s">
        <v>147</v>
      </c>
      <c r="E18" s="27" t="s">
        <v>125</v>
      </c>
      <c r="F18" s="27">
        <v>20</v>
      </c>
      <c r="G18" s="27" t="s">
        <v>30</v>
      </c>
    </row>
    <row r="19" spans="3:7" ht="30" x14ac:dyDescent="0.25">
      <c r="C19" s="46" t="s">
        <v>150</v>
      </c>
      <c r="D19" s="27" t="s">
        <v>147</v>
      </c>
      <c r="E19" s="27" t="s">
        <v>151</v>
      </c>
      <c r="F19" s="27">
        <v>152</v>
      </c>
      <c r="G19" s="27" t="s">
        <v>30</v>
      </c>
    </row>
    <row r="20" spans="3:7" ht="75" x14ac:dyDescent="0.25">
      <c r="C20" s="46" t="s">
        <v>154</v>
      </c>
      <c r="D20" s="27" t="s">
        <v>152</v>
      </c>
      <c r="E20" s="27" t="s">
        <v>153</v>
      </c>
      <c r="F20" s="27">
        <v>480</v>
      </c>
      <c r="G20" s="27" t="s">
        <v>141</v>
      </c>
    </row>
    <row r="21" spans="3:7" x14ac:dyDescent="0.25">
      <c r="C21" s="16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opLeftCell="A22" workbookViewId="0">
      <selection activeCell="M45" sqref="M45"/>
    </sheetView>
  </sheetViews>
  <sheetFormatPr defaultRowHeight="15" x14ac:dyDescent="0.25"/>
  <cols>
    <col min="1" max="1" width="6.85546875" customWidth="1"/>
    <col min="2" max="2" width="4.28515625" customWidth="1"/>
    <col min="3" max="3" width="11.140625" bestFit="1" customWidth="1"/>
    <col min="5" max="5" width="4.7109375" customWidth="1"/>
    <col min="6" max="6" width="4.42578125" customWidth="1"/>
    <col min="7" max="7" width="11.28515625" customWidth="1"/>
    <col min="8" max="8" width="26.42578125" customWidth="1"/>
    <col min="9" max="9" width="5" customWidth="1"/>
    <col min="10" max="10" width="4.140625" customWidth="1"/>
  </cols>
  <sheetData>
    <row r="1" spans="1:17" ht="35.25" customHeight="1" thickBot="1" x14ac:dyDescent="0.3">
      <c r="B1" s="2" t="s">
        <v>0</v>
      </c>
      <c r="C1" s="2" t="s">
        <v>6</v>
      </c>
      <c r="D1" s="18" t="s">
        <v>1</v>
      </c>
      <c r="E1" s="30" t="s">
        <v>23</v>
      </c>
      <c r="F1" s="33" t="s">
        <v>24</v>
      </c>
      <c r="G1" s="41" t="s">
        <v>75</v>
      </c>
    </row>
    <row r="2" spans="1:17" ht="18" customHeight="1" x14ac:dyDescent="0.25">
      <c r="A2" s="63" t="s">
        <v>2</v>
      </c>
      <c r="B2" s="7">
        <v>1</v>
      </c>
      <c r="C2" s="7" t="s">
        <v>7</v>
      </c>
      <c r="D2" s="19" t="s">
        <v>5</v>
      </c>
      <c r="E2" s="3">
        <v>150</v>
      </c>
      <c r="F2" s="19">
        <v>40</v>
      </c>
      <c r="G2" s="37">
        <f>F2*0.15*PI()*(E2/200)^2</f>
        <v>10.602875205865551</v>
      </c>
      <c r="M2" t="s">
        <v>77</v>
      </c>
      <c r="P2" s="42">
        <f>0.158*(38+80)+4*125*0.24+0.04*2*125+812+804+1036+867+629+130*(4*0.24+2*0.04)</f>
        <v>4431.8440000000001</v>
      </c>
      <c r="Q2" t="s">
        <v>34</v>
      </c>
    </row>
    <row r="3" spans="1:17" x14ac:dyDescent="0.25">
      <c r="A3" s="65"/>
      <c r="B3" s="8">
        <v>2</v>
      </c>
      <c r="C3" s="8" t="s">
        <v>8</v>
      </c>
      <c r="D3" s="20" t="s">
        <v>12</v>
      </c>
      <c r="E3" s="1">
        <v>150</v>
      </c>
      <c r="F3" s="20">
        <v>40</v>
      </c>
      <c r="G3" s="38">
        <f t="shared" ref="G3:G13" si="0">F3*0.15*PI()*(E3/200)^2</f>
        <v>10.602875205865551</v>
      </c>
      <c r="H3" t="s">
        <v>27</v>
      </c>
      <c r="I3">
        <f>2*(22+20)+2</f>
        <v>86</v>
      </c>
      <c r="J3" t="s">
        <v>30</v>
      </c>
    </row>
    <row r="4" spans="1:17" x14ac:dyDescent="0.25">
      <c r="A4" s="65"/>
      <c r="B4" s="8">
        <v>3</v>
      </c>
      <c r="C4" s="8" t="s">
        <v>9</v>
      </c>
      <c r="D4" s="20" t="s">
        <v>13</v>
      </c>
      <c r="E4" s="1">
        <v>150</v>
      </c>
      <c r="F4" s="20">
        <v>40</v>
      </c>
      <c r="G4" s="38">
        <f t="shared" si="0"/>
        <v>10.602875205865551</v>
      </c>
      <c r="H4" t="s">
        <v>28</v>
      </c>
      <c r="I4">
        <f>(2*(4+4)+4)*4</f>
        <v>80</v>
      </c>
      <c r="J4" t="s">
        <v>30</v>
      </c>
    </row>
    <row r="5" spans="1:17" x14ac:dyDescent="0.25">
      <c r="A5" s="65"/>
      <c r="B5" s="8">
        <v>4</v>
      </c>
      <c r="C5" s="8" t="s">
        <v>10</v>
      </c>
      <c r="D5" s="20" t="s">
        <v>14</v>
      </c>
      <c r="E5" s="1">
        <v>150</v>
      </c>
      <c r="F5" s="20">
        <v>40</v>
      </c>
      <c r="G5" s="38">
        <f t="shared" si="0"/>
        <v>10.602875205865551</v>
      </c>
      <c r="H5" t="s">
        <v>29</v>
      </c>
      <c r="I5">
        <f>10+1.5+6</f>
        <v>17.5</v>
      </c>
      <c r="J5" t="s">
        <v>30</v>
      </c>
    </row>
    <row r="6" spans="1:17" ht="17.25" x14ac:dyDescent="0.25">
      <c r="A6" s="65"/>
      <c r="B6" s="22">
        <v>5</v>
      </c>
      <c r="C6" s="22" t="s">
        <v>11</v>
      </c>
      <c r="D6" s="23" t="s">
        <v>15</v>
      </c>
      <c r="E6" s="1">
        <v>150</v>
      </c>
      <c r="F6" s="20">
        <v>40</v>
      </c>
      <c r="G6" s="38">
        <f t="shared" si="0"/>
        <v>10.602875205865551</v>
      </c>
      <c r="H6" t="s">
        <v>32</v>
      </c>
      <c r="I6">
        <f>7*1.5+20*1.5+6*1.7</f>
        <v>50.7</v>
      </c>
      <c r="J6" t="s">
        <v>34</v>
      </c>
      <c r="O6">
        <f>365-O5</f>
        <v>365</v>
      </c>
    </row>
    <row r="7" spans="1:17" x14ac:dyDescent="0.25">
      <c r="A7" s="65"/>
      <c r="B7" s="22">
        <v>6</v>
      </c>
      <c r="C7" s="22" t="s">
        <v>35</v>
      </c>
      <c r="D7" s="23" t="s">
        <v>73</v>
      </c>
      <c r="E7" s="1">
        <v>60</v>
      </c>
      <c r="F7" s="20">
        <v>20</v>
      </c>
      <c r="G7" s="38">
        <f t="shared" si="0"/>
        <v>0.84823001646924412</v>
      </c>
      <c r="H7" t="s">
        <v>33</v>
      </c>
      <c r="I7">
        <f>14+20*2+16</f>
        <v>70</v>
      </c>
      <c r="J7" t="s">
        <v>30</v>
      </c>
      <c r="O7">
        <f>O6-130*(4*0.24+2*0.04)</f>
        <v>229.79999999999998</v>
      </c>
    </row>
    <row r="8" spans="1:17" ht="29.25" customHeight="1" x14ac:dyDescent="0.25">
      <c r="A8" s="65"/>
      <c r="B8" s="22">
        <v>7</v>
      </c>
      <c r="C8" s="22" t="s">
        <v>37</v>
      </c>
      <c r="D8" s="24" t="s">
        <v>36</v>
      </c>
      <c r="E8" s="1">
        <v>50</v>
      </c>
      <c r="F8" s="20">
        <v>4</v>
      </c>
      <c r="G8" s="38">
        <f t="shared" si="0"/>
        <v>0.11780972450961724</v>
      </c>
      <c r="H8" s="16" t="s">
        <v>41</v>
      </c>
      <c r="I8">
        <v>60</v>
      </c>
      <c r="J8" t="s">
        <v>30</v>
      </c>
    </row>
    <row r="9" spans="1:17" ht="30" x14ac:dyDescent="0.25">
      <c r="A9" s="65"/>
      <c r="B9" s="22">
        <v>8</v>
      </c>
      <c r="C9" s="22" t="s">
        <v>39</v>
      </c>
      <c r="D9" s="24" t="s">
        <v>38</v>
      </c>
      <c r="E9" s="1">
        <v>60</v>
      </c>
      <c r="F9" s="20">
        <v>12</v>
      </c>
      <c r="G9" s="38">
        <f t="shared" si="0"/>
        <v>0.50893800988154636</v>
      </c>
      <c r="H9" s="16" t="s">
        <v>42</v>
      </c>
      <c r="I9">
        <f>4*6</f>
        <v>24</v>
      </c>
      <c r="J9" t="s">
        <v>34</v>
      </c>
    </row>
    <row r="10" spans="1:17" x14ac:dyDescent="0.25">
      <c r="A10" s="65"/>
      <c r="B10" s="22">
        <v>9</v>
      </c>
      <c r="C10" s="22" t="s">
        <v>45</v>
      </c>
      <c r="D10" s="24" t="s">
        <v>38</v>
      </c>
      <c r="E10" s="1">
        <v>60</v>
      </c>
      <c r="F10" s="20">
        <v>12</v>
      </c>
      <c r="G10" s="38">
        <f t="shared" si="0"/>
        <v>0.50893800988154636</v>
      </c>
      <c r="H10" s="17" t="s">
        <v>44</v>
      </c>
      <c r="I10">
        <v>4</v>
      </c>
      <c r="J10" t="s">
        <v>31</v>
      </c>
    </row>
    <row r="11" spans="1:17" x14ac:dyDescent="0.25">
      <c r="A11" s="65"/>
      <c r="B11" s="22">
        <v>10</v>
      </c>
      <c r="C11" s="22" t="s">
        <v>61</v>
      </c>
      <c r="D11" s="24" t="s">
        <v>40</v>
      </c>
      <c r="E11" s="1">
        <v>40</v>
      </c>
      <c r="F11" s="20">
        <v>6</v>
      </c>
      <c r="G11" s="38">
        <f t="shared" si="0"/>
        <v>0.11309733552923255</v>
      </c>
      <c r="H11" s="17" t="s">
        <v>56</v>
      </c>
      <c r="I11">
        <v>125</v>
      </c>
      <c r="J11" t="s">
        <v>31</v>
      </c>
    </row>
    <row r="12" spans="1:17" x14ac:dyDescent="0.25">
      <c r="A12" s="65"/>
      <c r="B12" s="22">
        <v>11</v>
      </c>
      <c r="C12" s="22" t="s">
        <v>63</v>
      </c>
      <c r="D12" s="24" t="s">
        <v>40</v>
      </c>
      <c r="E12" s="1">
        <v>40</v>
      </c>
      <c r="F12" s="20">
        <v>6</v>
      </c>
      <c r="G12" s="38">
        <f t="shared" si="0"/>
        <v>0.11309733552923255</v>
      </c>
    </row>
    <row r="13" spans="1:17" ht="15.75" thickBot="1" x14ac:dyDescent="0.3">
      <c r="A13" s="64"/>
      <c r="B13" s="9">
        <v>12</v>
      </c>
      <c r="C13" s="9" t="s">
        <v>64</v>
      </c>
      <c r="D13" s="31" t="s">
        <v>43</v>
      </c>
      <c r="E13" s="31">
        <v>150</v>
      </c>
      <c r="F13" s="34">
        <v>40</v>
      </c>
      <c r="G13" s="39">
        <f t="shared" si="0"/>
        <v>10.602875205865551</v>
      </c>
    </row>
    <row r="14" spans="1:17" ht="18" thickBot="1" x14ac:dyDescent="0.3">
      <c r="A14" s="15"/>
      <c r="B14" s="12"/>
      <c r="C14" s="12"/>
      <c r="D14" s="25"/>
      <c r="E14" s="10"/>
      <c r="F14" s="35" t="s">
        <v>74</v>
      </c>
      <c r="G14" s="36">
        <f>SUM(G2:G13)</f>
        <v>65.827361666993738</v>
      </c>
      <c r="H14" t="s">
        <v>76</v>
      </c>
    </row>
    <row r="15" spans="1:17" x14ac:dyDescent="0.25">
      <c r="A15" s="15"/>
      <c r="B15" s="12"/>
      <c r="C15" s="12"/>
      <c r="D15" s="25"/>
      <c r="E15" s="10"/>
      <c r="F15" s="10"/>
    </row>
    <row r="16" spans="1:17" ht="36.75" thickBot="1" x14ac:dyDescent="0.3">
      <c r="B16" s="2" t="s">
        <v>0</v>
      </c>
      <c r="C16" s="2" t="s">
        <v>6</v>
      </c>
      <c r="D16" s="2" t="s">
        <v>1</v>
      </c>
      <c r="E16" s="30" t="s">
        <v>23</v>
      </c>
      <c r="F16" s="30" t="s">
        <v>24</v>
      </c>
      <c r="G16" s="41" t="s">
        <v>75</v>
      </c>
      <c r="H16" t="s">
        <v>27</v>
      </c>
      <c r="I16">
        <f>870-320+120+96+180+406+179</f>
        <v>1531</v>
      </c>
      <c r="J16" t="s">
        <v>30</v>
      </c>
    </row>
    <row r="17" spans="1:16" ht="15" customHeight="1" x14ac:dyDescent="0.25">
      <c r="A17" s="63" t="s">
        <v>3</v>
      </c>
      <c r="B17" s="7">
        <v>1</v>
      </c>
      <c r="C17" s="3" t="s">
        <v>7</v>
      </c>
      <c r="D17" s="19" t="s">
        <v>16</v>
      </c>
      <c r="E17" s="3">
        <v>150</v>
      </c>
      <c r="F17" s="19">
        <v>40</v>
      </c>
      <c r="G17" s="37">
        <f>F17*0.15*PI()*(E17/200)^2</f>
        <v>10.602875205865551</v>
      </c>
      <c r="H17" t="s">
        <v>28</v>
      </c>
      <c r="I17">
        <f>8+16</f>
        <v>24</v>
      </c>
      <c r="J17" t="s">
        <v>30</v>
      </c>
      <c r="L17" t="s">
        <v>77</v>
      </c>
      <c r="O17">
        <f>365-130*(4*0.24+2*0.04)+500+2663+172+727+613+775+757+333+733+398.49+684+695+786-410*(4*0.24+2*0.04)</f>
        <v>9639.8900000000012</v>
      </c>
      <c r="P17" t="s">
        <v>34</v>
      </c>
    </row>
    <row r="18" spans="1:16" ht="75" x14ac:dyDescent="0.25">
      <c r="A18" s="65"/>
      <c r="B18" s="8">
        <v>2</v>
      </c>
      <c r="C18" s="11" t="s">
        <v>18</v>
      </c>
      <c r="D18" s="20" t="s">
        <v>17</v>
      </c>
      <c r="E18" s="1">
        <v>60</v>
      </c>
      <c r="F18" s="20">
        <v>15</v>
      </c>
      <c r="G18" s="38">
        <f t="shared" ref="G18:G32" si="1">F18*0.15*PI()*(E18/200)^2</f>
        <v>0.63617251235193306</v>
      </c>
      <c r="H18" t="s">
        <v>29</v>
      </c>
      <c r="I18">
        <f>320*2+50+200+400*2+179*2+175*2</f>
        <v>2398</v>
      </c>
      <c r="J18" t="s">
        <v>30</v>
      </c>
    </row>
    <row r="19" spans="1:16" ht="17.25" x14ac:dyDescent="0.25">
      <c r="A19" s="65"/>
      <c r="B19" s="8">
        <v>3</v>
      </c>
      <c r="C19" s="1" t="s">
        <v>9</v>
      </c>
      <c r="D19" s="20" t="s">
        <v>19</v>
      </c>
      <c r="E19" s="1">
        <v>150</v>
      </c>
      <c r="F19" s="20">
        <v>40</v>
      </c>
      <c r="G19" s="38">
        <f t="shared" si="1"/>
        <v>10.602875205865551</v>
      </c>
      <c r="H19" t="s">
        <v>32</v>
      </c>
      <c r="I19">
        <f>35*1.5+25*3+25*1.5</f>
        <v>165</v>
      </c>
      <c r="J19" t="s">
        <v>34</v>
      </c>
    </row>
    <row r="20" spans="1:16" ht="46.5" customHeight="1" x14ac:dyDescent="0.25">
      <c r="A20" s="65"/>
      <c r="B20" s="8">
        <v>4</v>
      </c>
      <c r="C20" s="14" t="s">
        <v>10</v>
      </c>
      <c r="D20" s="20" t="s">
        <v>20</v>
      </c>
      <c r="E20" s="1">
        <v>150</v>
      </c>
      <c r="F20" s="20">
        <v>40</v>
      </c>
      <c r="G20" s="38">
        <f t="shared" si="1"/>
        <v>10.602875205865551</v>
      </c>
      <c r="H20" t="s">
        <v>33</v>
      </c>
      <c r="I20">
        <f>85*2</f>
        <v>170</v>
      </c>
      <c r="J20" t="s">
        <v>30</v>
      </c>
    </row>
    <row r="21" spans="1:16" ht="45" x14ac:dyDescent="0.25">
      <c r="A21" s="65"/>
      <c r="B21" s="22">
        <v>5</v>
      </c>
      <c r="C21" s="26" t="s">
        <v>11</v>
      </c>
      <c r="D21" s="23" t="s">
        <v>21</v>
      </c>
      <c r="E21" s="1">
        <v>150</v>
      </c>
      <c r="F21" s="20">
        <v>40</v>
      </c>
      <c r="G21" s="38">
        <f t="shared" si="1"/>
        <v>10.602875205865551</v>
      </c>
      <c r="H21" s="16" t="s">
        <v>68</v>
      </c>
      <c r="I21">
        <f>1.5*320+280*1.5</f>
        <v>900</v>
      </c>
      <c r="J21" t="s">
        <v>34</v>
      </c>
    </row>
    <row r="22" spans="1:16" ht="45" x14ac:dyDescent="0.25">
      <c r="A22" s="65"/>
      <c r="B22" s="27">
        <v>6</v>
      </c>
      <c r="C22" s="24" t="s">
        <v>35</v>
      </c>
      <c r="D22" s="24" t="s">
        <v>46</v>
      </c>
      <c r="E22" s="1">
        <v>40</v>
      </c>
      <c r="F22" s="20">
        <v>20</v>
      </c>
      <c r="G22" s="38">
        <f t="shared" si="1"/>
        <v>0.37699111843077526</v>
      </c>
      <c r="H22" s="16" t="s">
        <v>69</v>
      </c>
      <c r="I22">
        <f>4*6+2*6</f>
        <v>36</v>
      </c>
      <c r="J22" t="s">
        <v>34</v>
      </c>
    </row>
    <row r="23" spans="1:16" x14ac:dyDescent="0.25">
      <c r="A23" s="65"/>
      <c r="B23" s="27">
        <v>7</v>
      </c>
      <c r="C23" s="26" t="s">
        <v>37</v>
      </c>
      <c r="D23" s="24" t="s">
        <v>46</v>
      </c>
      <c r="E23" s="1">
        <v>60</v>
      </c>
      <c r="F23" s="20">
        <v>11</v>
      </c>
      <c r="G23" s="38">
        <f t="shared" si="1"/>
        <v>0.46652650905808424</v>
      </c>
      <c r="H23" s="16"/>
    </row>
    <row r="24" spans="1:16" x14ac:dyDescent="0.25">
      <c r="A24" s="65"/>
      <c r="B24" s="27">
        <v>8</v>
      </c>
      <c r="C24" s="24" t="s">
        <v>39</v>
      </c>
      <c r="D24" s="24" t="s">
        <v>59</v>
      </c>
      <c r="E24" s="1">
        <v>40</v>
      </c>
      <c r="F24" s="20">
        <v>6</v>
      </c>
      <c r="G24" s="38">
        <f t="shared" si="1"/>
        <v>0.11309733552923255</v>
      </c>
      <c r="H24" s="17" t="s">
        <v>44</v>
      </c>
      <c r="I24">
        <f>2+7</f>
        <v>9</v>
      </c>
      <c r="J24" t="s">
        <v>31</v>
      </c>
    </row>
    <row r="25" spans="1:16" x14ac:dyDescent="0.25">
      <c r="A25" s="65"/>
      <c r="B25" s="27">
        <v>9</v>
      </c>
      <c r="C25" s="26" t="s">
        <v>45</v>
      </c>
      <c r="D25" s="24" t="s">
        <v>60</v>
      </c>
      <c r="E25" s="1">
        <v>60</v>
      </c>
      <c r="F25" s="20">
        <v>15</v>
      </c>
      <c r="G25" s="38">
        <f t="shared" si="1"/>
        <v>0.63617251235193306</v>
      </c>
      <c r="H25" s="17" t="s">
        <v>56</v>
      </c>
      <c r="I25">
        <f>73+90</f>
        <v>163</v>
      </c>
      <c r="J25" t="s">
        <v>31</v>
      </c>
    </row>
    <row r="26" spans="1:16" x14ac:dyDescent="0.25">
      <c r="A26" s="65"/>
      <c r="B26" s="27">
        <v>10</v>
      </c>
      <c r="C26" s="24" t="s">
        <v>61</v>
      </c>
      <c r="D26" s="24" t="s">
        <v>60</v>
      </c>
      <c r="E26" s="1">
        <v>60</v>
      </c>
      <c r="F26" s="20">
        <v>15</v>
      </c>
      <c r="G26" s="38">
        <f t="shared" si="1"/>
        <v>0.63617251235193306</v>
      </c>
      <c r="H26" s="17"/>
      <c r="J26" t="s">
        <v>31</v>
      </c>
    </row>
    <row r="27" spans="1:16" ht="30" x14ac:dyDescent="0.25">
      <c r="A27" s="65"/>
      <c r="B27" s="27">
        <v>11</v>
      </c>
      <c r="C27" s="26" t="s">
        <v>63</v>
      </c>
      <c r="D27" s="24" t="s">
        <v>62</v>
      </c>
      <c r="E27" s="1">
        <v>60</v>
      </c>
      <c r="F27" s="20">
        <v>20</v>
      </c>
      <c r="G27" s="38">
        <f t="shared" si="1"/>
        <v>0.84823001646924412</v>
      </c>
      <c r="H27" s="16" t="s">
        <v>47</v>
      </c>
      <c r="I27">
        <f>1.7*17+2.5*6</f>
        <v>43.9</v>
      </c>
      <c r="J27" t="s">
        <v>34</v>
      </c>
    </row>
    <row r="28" spans="1:16" x14ac:dyDescent="0.25">
      <c r="A28" s="65"/>
      <c r="B28" s="27">
        <v>12</v>
      </c>
      <c r="C28" s="24" t="s">
        <v>64</v>
      </c>
      <c r="D28" s="24" t="s">
        <v>62</v>
      </c>
      <c r="E28" s="1">
        <v>60</v>
      </c>
      <c r="F28" s="20">
        <v>11</v>
      </c>
      <c r="G28" s="38">
        <f t="shared" si="1"/>
        <v>0.46652650905808424</v>
      </c>
    </row>
    <row r="29" spans="1:16" x14ac:dyDescent="0.25">
      <c r="A29" s="65"/>
      <c r="B29" s="27">
        <v>13</v>
      </c>
      <c r="C29" s="26" t="s">
        <v>66</v>
      </c>
      <c r="D29" s="24" t="s">
        <v>65</v>
      </c>
      <c r="E29" s="1">
        <v>60</v>
      </c>
      <c r="F29" s="20">
        <v>11</v>
      </c>
      <c r="G29" s="38">
        <f t="shared" si="1"/>
        <v>0.46652650905808424</v>
      </c>
    </row>
    <row r="30" spans="1:16" x14ac:dyDescent="0.25">
      <c r="A30" s="65"/>
      <c r="B30" s="27">
        <v>14</v>
      </c>
      <c r="C30" s="24" t="s">
        <v>67</v>
      </c>
      <c r="D30" s="24" t="s">
        <v>65</v>
      </c>
      <c r="E30" s="1">
        <v>60</v>
      </c>
      <c r="F30" s="20">
        <v>11</v>
      </c>
      <c r="G30" s="38">
        <f t="shared" si="1"/>
        <v>0.46652650905808424</v>
      </c>
    </row>
    <row r="31" spans="1:16" x14ac:dyDescent="0.25">
      <c r="A31" s="65"/>
      <c r="B31" s="27">
        <v>15</v>
      </c>
      <c r="C31" s="24" t="s">
        <v>70</v>
      </c>
      <c r="D31" s="24" t="s">
        <v>72</v>
      </c>
      <c r="E31" s="1">
        <v>60</v>
      </c>
      <c r="F31" s="20">
        <v>12</v>
      </c>
      <c r="G31" s="38">
        <f t="shared" si="1"/>
        <v>0.50893800988154636</v>
      </c>
    </row>
    <row r="32" spans="1:16" ht="15.75" thickBot="1" x14ac:dyDescent="0.3">
      <c r="A32" s="64"/>
      <c r="B32" s="32">
        <v>16</v>
      </c>
      <c r="C32" s="31" t="s">
        <v>71</v>
      </c>
      <c r="D32" s="31" t="s">
        <v>72</v>
      </c>
      <c r="E32" s="5">
        <v>60</v>
      </c>
      <c r="F32" s="21">
        <v>12</v>
      </c>
      <c r="G32" s="39">
        <f t="shared" si="1"/>
        <v>0.50893800988154636</v>
      </c>
    </row>
    <row r="33" spans="1:10" ht="18" thickBot="1" x14ac:dyDescent="0.3">
      <c r="A33" s="15"/>
      <c r="B33" s="29"/>
      <c r="C33" s="25"/>
      <c r="D33" s="25"/>
      <c r="E33" s="10"/>
      <c r="F33" s="40" t="s">
        <v>74</v>
      </c>
      <c r="G33" s="36">
        <f>SUM(G17:G32)</f>
        <v>48.542318886942688</v>
      </c>
      <c r="H33" t="s">
        <v>76</v>
      </c>
    </row>
    <row r="34" spans="1:10" x14ac:dyDescent="0.25">
      <c r="B34" s="10"/>
      <c r="C34" s="10"/>
      <c r="D34" s="10"/>
    </row>
    <row r="35" spans="1:10" ht="15.75" thickBot="1" x14ac:dyDescent="0.3">
      <c r="B35" s="2" t="s">
        <v>0</v>
      </c>
      <c r="C35" s="2" t="s">
        <v>6</v>
      </c>
      <c r="D35" s="2" t="s">
        <v>1</v>
      </c>
      <c r="E35" s="30" t="s">
        <v>23</v>
      </c>
      <c r="F35" s="30" t="s">
        <v>24</v>
      </c>
      <c r="G35" s="10"/>
    </row>
    <row r="36" spans="1:10" ht="60" customHeight="1" x14ac:dyDescent="0.25">
      <c r="A36" s="63" t="s">
        <v>4</v>
      </c>
      <c r="B36" s="7">
        <v>1</v>
      </c>
      <c r="C36" s="13" t="s">
        <v>25</v>
      </c>
      <c r="D36" s="28" t="s">
        <v>26</v>
      </c>
      <c r="E36" s="3">
        <v>150</v>
      </c>
      <c r="F36" s="4">
        <v>9</v>
      </c>
      <c r="H36" t="s">
        <v>48</v>
      </c>
    </row>
    <row r="37" spans="1:10" ht="15.75" thickBot="1" x14ac:dyDescent="0.3">
      <c r="A37" s="64"/>
      <c r="B37" s="9">
        <v>2</v>
      </c>
      <c r="C37" s="5" t="s">
        <v>8</v>
      </c>
      <c r="D37" s="21" t="s">
        <v>22</v>
      </c>
      <c r="E37" s="5">
        <v>150</v>
      </c>
      <c r="F37" s="6">
        <v>33</v>
      </c>
      <c r="H37" t="s">
        <v>49</v>
      </c>
      <c r="I37">
        <f>400+150+60+200+100</f>
        <v>910</v>
      </c>
      <c r="J37" t="s">
        <v>30</v>
      </c>
    </row>
    <row r="38" spans="1:10" x14ac:dyDescent="0.25">
      <c r="B38" s="12"/>
      <c r="C38" s="10"/>
      <c r="D38" s="10"/>
      <c r="H38" t="s">
        <v>50</v>
      </c>
      <c r="I38">
        <f>60+16</f>
        <v>76</v>
      </c>
      <c r="J38" t="s">
        <v>30</v>
      </c>
    </row>
    <row r="39" spans="1:10" x14ac:dyDescent="0.25">
      <c r="B39" s="12"/>
      <c r="C39" s="10"/>
      <c r="D39" s="10"/>
    </row>
    <row r="40" spans="1:10" x14ac:dyDescent="0.25">
      <c r="B40" s="12"/>
      <c r="C40" s="10"/>
      <c r="D40" s="10"/>
      <c r="H40" t="s">
        <v>52</v>
      </c>
    </row>
    <row r="41" spans="1:10" ht="64.5" customHeight="1" x14ac:dyDescent="0.25">
      <c r="B41" s="12"/>
      <c r="C41" s="10"/>
      <c r="D41" s="10"/>
      <c r="H41" t="s">
        <v>53</v>
      </c>
    </row>
    <row r="42" spans="1:10" x14ac:dyDescent="0.25">
      <c r="B42" s="12"/>
      <c r="C42" s="10"/>
      <c r="D42" s="10"/>
      <c r="H42" t="s">
        <v>58</v>
      </c>
      <c r="I42">
        <v>250</v>
      </c>
      <c r="J42" t="s">
        <v>30</v>
      </c>
    </row>
    <row r="43" spans="1:10" ht="60" x14ac:dyDescent="0.25">
      <c r="H43" s="16" t="s">
        <v>54</v>
      </c>
      <c r="I43">
        <f>6*80</f>
        <v>480</v>
      </c>
      <c r="J43" t="s">
        <v>34</v>
      </c>
    </row>
    <row r="44" spans="1:10" x14ac:dyDescent="0.25">
      <c r="H44" t="s">
        <v>55</v>
      </c>
      <c r="I44">
        <f>80+100</f>
        <v>180</v>
      </c>
      <c r="J44" t="s">
        <v>30</v>
      </c>
    </row>
    <row r="45" spans="1:10" x14ac:dyDescent="0.25">
      <c r="H45" s="17" t="s">
        <v>56</v>
      </c>
      <c r="I45">
        <v>170</v>
      </c>
      <c r="J45" t="s">
        <v>51</v>
      </c>
    </row>
    <row r="46" spans="1:10" x14ac:dyDescent="0.25">
      <c r="H46" s="17" t="s">
        <v>57</v>
      </c>
      <c r="I46">
        <v>40</v>
      </c>
      <c r="J46" t="s">
        <v>51</v>
      </c>
    </row>
  </sheetData>
  <mergeCells count="3">
    <mergeCell ref="A36:A37"/>
    <mergeCell ref="A17:A32"/>
    <mergeCell ref="A2:A13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Załuski -Przyborowice</vt:lpstr>
      <vt:lpstr>Załuski-Trębki</vt:lpstr>
      <vt:lpstr>Trębki- w. Modlin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Stangreciak Grzegorz</dc:creator>
  <cp:lastModifiedBy>Szymkiewicz Marta</cp:lastModifiedBy>
  <cp:lastPrinted>2017-02-27T11:36:56Z</cp:lastPrinted>
  <dcterms:created xsi:type="dcterms:W3CDTF">2017-02-23T07:08:59Z</dcterms:created>
  <dcterms:modified xsi:type="dcterms:W3CDTF">2017-05-17T11:55:41Z</dcterms:modified>
</cp:coreProperties>
</file>