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5625" windowHeight="8010"/>
  </bookViews>
  <sheets>
    <sheet name="Tabela Opracowania" sheetId="1" r:id="rId1"/>
    <sheet name="Geologia" sheetId="3" r:id="rId2"/>
    <sheet name="pozostałe elementy" sheetId="4" r:id="rId3"/>
  </sheets>
  <definedNames>
    <definedName name="_xlnm.Print_Area" localSheetId="0">'Tabela Opracowania'!$B$1:$H$40</definedName>
  </definedNames>
  <calcPr calcId="162913"/>
</workbook>
</file>

<file path=xl/calcChain.xml><?xml version="1.0" encoding="utf-8"?>
<calcChain xmlns="http://schemas.openxmlformats.org/spreadsheetml/2006/main">
  <c r="E15" i="3" l="1"/>
  <c r="L34" i="3" l="1"/>
  <c r="C34" i="3"/>
  <c r="K34" i="3" s="1"/>
  <c r="M34" i="3" l="1"/>
  <c r="F42" i="4" l="1"/>
  <c r="J21" i="3" l="1"/>
  <c r="F4" i="4" l="1"/>
  <c r="J18" i="3" l="1"/>
  <c r="F47" i="4" l="1"/>
  <c r="F50" i="4" s="1"/>
  <c r="F51" i="4" l="1"/>
  <c r="F52" i="4" s="1"/>
  <c r="F64" i="4" l="1"/>
  <c r="D64" i="4"/>
  <c r="H60" i="4" l="1"/>
  <c r="H63" i="4"/>
  <c r="H61" i="4"/>
  <c r="K29" i="3" l="1"/>
  <c r="L29" i="3" s="1"/>
  <c r="K26" i="3"/>
  <c r="L26" i="3" s="1"/>
  <c r="D42" i="4" l="1"/>
  <c r="D47" i="4" s="1"/>
  <c r="E26" i="1" l="1"/>
  <c r="C56" i="3" l="1"/>
  <c r="C46" i="3"/>
  <c r="D50" i="4" l="1"/>
  <c r="E54" i="4" s="1"/>
  <c r="E62" i="4" s="1"/>
  <c r="D51" i="4" l="1"/>
  <c r="D52" i="4" s="1"/>
  <c r="E55" i="4"/>
  <c r="E11" i="1"/>
  <c r="E60" i="4" l="1"/>
  <c r="E63" i="4"/>
  <c r="E61" i="4"/>
  <c r="E56" i="4"/>
  <c r="E64" i="4" l="1"/>
  <c r="F65" i="4" s="1"/>
  <c r="E24" i="1"/>
  <c r="E25" i="1"/>
  <c r="G60" i="3"/>
  <c r="F59" i="3"/>
  <c r="G59" i="3" s="1"/>
  <c r="F58" i="3"/>
  <c r="G58" i="3" s="1"/>
  <c r="F46" i="3" l="1"/>
  <c r="G46" i="3" s="1"/>
  <c r="F45" i="3"/>
  <c r="G45" i="3" s="1"/>
  <c r="F44" i="3"/>
  <c r="G44" i="3" s="1"/>
  <c r="F42" i="3"/>
  <c r="F41" i="3"/>
  <c r="F40" i="3"/>
  <c r="E22" i="1" l="1"/>
  <c r="E21" i="1"/>
  <c r="E19" i="1"/>
  <c r="E18" i="1"/>
  <c r="E16" i="1"/>
  <c r="E15" i="1"/>
  <c r="G42" i="3"/>
  <c r="G41" i="3"/>
  <c r="G40" i="3"/>
  <c r="H60" i="3" l="1"/>
  <c r="C42" i="3"/>
  <c r="I36" i="3"/>
  <c r="I15" i="3"/>
  <c r="I14" i="3"/>
  <c r="J14" i="3" s="1"/>
  <c r="J15" i="3" l="1"/>
  <c r="K15" i="3" s="1"/>
  <c r="L15" i="3" s="1"/>
  <c r="M15" i="3" s="1"/>
  <c r="K21" i="3"/>
  <c r="L21" i="3" s="1"/>
  <c r="J32" i="3"/>
  <c r="K32" i="3" s="1"/>
  <c r="L32" i="3" s="1"/>
  <c r="M32" i="3" s="1"/>
  <c r="K18" i="3"/>
  <c r="K14" i="3"/>
  <c r="L14" i="3" s="1"/>
  <c r="M14" i="3" s="1"/>
  <c r="D46" i="3" l="1"/>
  <c r="D45" i="3"/>
  <c r="D44" i="3"/>
  <c r="J31" i="3"/>
  <c r="K31" i="3" s="1"/>
  <c r="L31" i="3" s="1"/>
  <c r="M31" i="3" s="1"/>
  <c r="D49" i="3" s="1"/>
  <c r="J33" i="3"/>
  <c r="K33" i="3" s="1"/>
  <c r="H62" i="3"/>
  <c r="L18" i="3"/>
  <c r="M18" i="3" s="1"/>
  <c r="M19" i="3" s="1"/>
  <c r="D41" i="3" l="1"/>
  <c r="L33" i="3"/>
  <c r="M33" i="3" s="1"/>
  <c r="D53" i="3" s="1"/>
  <c r="H68" i="3"/>
  <c r="H64" i="3"/>
  <c r="D40" i="3"/>
  <c r="D42" i="3"/>
  <c r="D52" i="3"/>
  <c r="D51" i="3"/>
  <c r="D50" i="3"/>
  <c r="D54" i="3" l="1"/>
  <c r="D58" i="3" s="1"/>
  <c r="D56" i="3"/>
  <c r="D60" i="3" s="1"/>
  <c r="D57" i="3"/>
  <c r="D55" i="3"/>
  <c r="D59" i="3" s="1"/>
  <c r="H71" i="3"/>
</calcChain>
</file>

<file path=xl/comments1.xml><?xml version="1.0" encoding="utf-8"?>
<comments xmlns="http://schemas.openxmlformats.org/spreadsheetml/2006/main">
  <authors>
    <author>Autor</author>
  </authors>
  <commentList>
    <comment ref="B1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minimum jedna w klasie A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założony % długości trasy dla warunków kat.1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założony % długości trasy dla warunków kat.2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założono 2, ze względu na nasypy oraz szerokości większości dróg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po jeden pod każdą jezdnią. Razem 2 profile.</t>
        </r>
      </text>
    </comment>
    <comment ref="E4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dane na polach żółtych - wpisywać z ręki na podstawie wyliczenia z kolumny lewej</t>
        </r>
      </text>
    </comment>
    <comment ref="F4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ceny jednostkowe wpisywać w TER</t>
        </r>
      </text>
    </comment>
  </commentList>
</comments>
</file>

<file path=xl/sharedStrings.xml><?xml version="1.0" encoding="utf-8"?>
<sst xmlns="http://schemas.openxmlformats.org/spreadsheetml/2006/main" count="270" uniqueCount="202">
  <si>
    <t>Lp.</t>
  </si>
  <si>
    <t>ryczałt</t>
  </si>
  <si>
    <t xml:space="preserve">mapy dc. Projektowych </t>
  </si>
  <si>
    <t>ha</t>
  </si>
  <si>
    <t>km</t>
  </si>
  <si>
    <t>STES etap II (uszczegółowienie STES-I)</t>
  </si>
  <si>
    <t>Element opracowania</t>
  </si>
  <si>
    <t>Jednostka</t>
  </si>
  <si>
    <t>Wartość
 netto</t>
  </si>
  <si>
    <t>Razem wartość netto</t>
  </si>
  <si>
    <t>Podatek VAT (23%)</t>
  </si>
  <si>
    <t>Razem wartość brutto (cena oferty)</t>
  </si>
  <si>
    <t>………………………………………………..</t>
  </si>
  <si>
    <t>podpis Wykonawcy/Pełnomocnika</t>
  </si>
  <si>
    <t>(nazwa)</t>
  </si>
  <si>
    <t>(ilość)</t>
  </si>
  <si>
    <t>(zł)</t>
  </si>
  <si>
    <t>ETAP II</t>
  </si>
  <si>
    <t>Roboty geologiczne</t>
  </si>
  <si>
    <t>Wiercenia</t>
  </si>
  <si>
    <t>w gruncie dla próbek kategorii A</t>
  </si>
  <si>
    <t>w gruncie dla próbek kategorii B</t>
  </si>
  <si>
    <t>w gruncie dla próbek kategorii C</t>
  </si>
  <si>
    <t>Sondowania</t>
  </si>
  <si>
    <t>DP/SPT</t>
  </si>
  <si>
    <t>CPT/CPTu/sCPTu</t>
  </si>
  <si>
    <t>FVT/SLVT</t>
  </si>
  <si>
    <t>m</t>
  </si>
  <si>
    <t>cena</t>
  </si>
  <si>
    <t>głębokośc wierceń do 5 m</t>
  </si>
  <si>
    <t>głębokośc wierceń ponad 5 m</t>
  </si>
  <si>
    <t>założenia</t>
  </si>
  <si>
    <t>średnia głębokość próbki w trasie głównej</t>
  </si>
  <si>
    <t>średnia głębokość na obiekt</t>
  </si>
  <si>
    <t>pojedyńczy wariant</t>
  </si>
  <si>
    <t>całość</t>
  </si>
  <si>
    <t>szt</t>
  </si>
  <si>
    <t>trasa główna</t>
  </si>
  <si>
    <t>% dł.
 trasy</t>
  </si>
  <si>
    <t>długość odc.
Kategorii [km]</t>
  </si>
  <si>
    <t>wsp.
okonturowania</t>
  </si>
  <si>
    <t>ilość próbek w przekroju trasy głównej</t>
  </si>
  <si>
    <t xml:space="preserve">rozstaw przekrojów trasy głównej (kat. 1) </t>
  </si>
  <si>
    <t xml:space="preserve">rozstaw przekrojów trasy głównej (kat. 2) </t>
  </si>
  <si>
    <t>ilość obiektów</t>
  </si>
  <si>
    <t>ilość podpór</t>
  </si>
  <si>
    <t>ilość podpór średnio na obiekt</t>
  </si>
  <si>
    <t>ilość próbek na podporę</t>
  </si>
  <si>
    <t>sondowania</t>
  </si>
  <si>
    <t>sondowania trasa główna ilość na przekrój</t>
  </si>
  <si>
    <t>sondowania trasa główna</t>
  </si>
  <si>
    <t>sondowania dojazdowe</t>
  </si>
  <si>
    <t>sondowania obiekty ilość na podporę</t>
  </si>
  <si>
    <t>sondowania obiekty</t>
  </si>
  <si>
    <t>ERT</t>
  </si>
  <si>
    <t>ilość profili na wariant</t>
  </si>
  <si>
    <t>Zmienne dla danej drogi 2x2</t>
  </si>
  <si>
    <t>długość trasy głównej</t>
  </si>
  <si>
    <t>wsp.</t>
  </si>
  <si>
    <t>drogi - do 5m</t>
  </si>
  <si>
    <t>% A</t>
  </si>
  <si>
    <t>% B</t>
  </si>
  <si>
    <t>% C</t>
  </si>
  <si>
    <t>sondowania do 5m</t>
  </si>
  <si>
    <t>sondowania ponad 5m</t>
  </si>
  <si>
    <t>Wyniki - przeliczenie do TER</t>
  </si>
  <si>
    <t>cena
jedn.</t>
  </si>
  <si>
    <t xml:space="preserve">Cena
 jedn. </t>
  </si>
  <si>
    <t>badania razem</t>
  </si>
  <si>
    <t>DP/SPT do 5 m</t>
  </si>
  <si>
    <t>CPT/CPTu/sCPTu do 5 m</t>
  </si>
  <si>
    <t>DP/SPT ponad 5 m</t>
  </si>
  <si>
    <t>CPT/CPTu/sCPTu ponad 5 m</t>
  </si>
  <si>
    <t>FVT/SLVT ponad 5 m</t>
  </si>
  <si>
    <t>sondowania razem</t>
  </si>
  <si>
    <t>dokumentacja geologiczno-inżynierska
i hydrogeologiczna</t>
  </si>
  <si>
    <t>głębokość wierceń do 5 m</t>
  </si>
  <si>
    <t>GEOLOGIA</t>
  </si>
  <si>
    <t>przyjęto
w TER</t>
  </si>
  <si>
    <t>sondowania - wyliczenia pomocnie - dodatkowe</t>
  </si>
  <si>
    <t>pola żółte  niebieki tekst - wpisywać z ręki dla danej inwestycji</t>
  </si>
  <si>
    <t>pola żółte czarny tekst - wartości wpisywać z ręki na podstawie wyliczeń</t>
  </si>
  <si>
    <t>pola szare - przyjęte założenia do obliczeń ilości w konsultacji z DT</t>
  </si>
  <si>
    <t xml:space="preserve">ceny jednostkowe - wpisywać w TER. </t>
  </si>
  <si>
    <t>wsp. Na projekt prac geologicznych</t>
  </si>
  <si>
    <t>wsp. na dokumentacje geologiczne</t>
  </si>
  <si>
    <t>dokumentacje geologiczne - wyliczenie</t>
  </si>
  <si>
    <t>projekt prac geologicznych - wyliczenie</t>
  </si>
  <si>
    <t>dokumentacje geologiczne do TER</t>
  </si>
  <si>
    <t>ppg - do TER</t>
  </si>
  <si>
    <t>geologia całość</t>
  </si>
  <si>
    <t>szer. Pasa [m]</t>
  </si>
  <si>
    <t>Klasa:</t>
  </si>
  <si>
    <t>GP</t>
  </si>
  <si>
    <t>Przekrój:</t>
  </si>
  <si>
    <t>2x2</t>
  </si>
  <si>
    <t>Kat. ruchu</t>
  </si>
  <si>
    <t>KR6</t>
  </si>
  <si>
    <t>Ilość obiektów inżynierskich:</t>
  </si>
  <si>
    <t>a) mosty</t>
  </si>
  <si>
    <t>b) wiadukty</t>
  </si>
  <si>
    <t>kolumna 4</t>
  </si>
  <si>
    <t>j.n.p.</t>
  </si>
  <si>
    <t>kolumna 5</t>
  </si>
  <si>
    <t>kolumna 6</t>
  </si>
  <si>
    <t>Dodatki i współczynniki do tab. 20.4</t>
  </si>
  <si>
    <t>Wyliczenie ilości jednostek nakładu pracy:</t>
  </si>
  <si>
    <r>
      <t xml:space="preserve">Nx = </t>
    </r>
    <r>
      <rPr>
        <b/>
        <sz val="11"/>
        <color theme="1"/>
        <rFont val="Calibri"/>
        <family val="2"/>
        <charset val="238"/>
      </rPr>
      <t>∑Np(1+D)xW</t>
    </r>
  </si>
  <si>
    <t>Nx=</t>
  </si>
  <si>
    <t>Wyliczenie ceny prac projektowych:</t>
  </si>
  <si>
    <r>
      <t>Cx=</t>
    </r>
    <r>
      <rPr>
        <b/>
        <sz val="11"/>
        <color theme="1"/>
        <rFont val="Calibri"/>
        <family val="2"/>
        <charset val="238"/>
      </rPr>
      <t>∑NxS</t>
    </r>
  </si>
  <si>
    <t>S=</t>
  </si>
  <si>
    <t>netto</t>
  </si>
  <si>
    <t>Cx=</t>
  </si>
  <si>
    <t>brutto</t>
  </si>
  <si>
    <t>Wyliczenie kosztów uszczegółowienia na podstawie wyceny Koncepcji Programowej według Środowiskowych Zasad Wyceny Prac Projektowych 2012</t>
  </si>
  <si>
    <t>3) Wartość prac projektowych. wyliczona  na podst. ŚZWPP 2012 wynosi:</t>
  </si>
  <si>
    <t>1) Dane:</t>
  </si>
  <si>
    <t>2) Wyliczenia j.n.p. na podst. ŚZWPP 2012 Rozdział 4, Podrozdział 4.10</t>
  </si>
  <si>
    <t>VAT 23%</t>
  </si>
  <si>
    <t>Długość trasy:</t>
  </si>
  <si>
    <t>pola szare - przyjęte założenia do obliczeń ilości</t>
  </si>
  <si>
    <t>ilość
przekrojów
[szt.]</t>
  </si>
  <si>
    <t>ilość 
próbek
[szt.]</t>
  </si>
  <si>
    <t>suma głębokości
 otworów
[mb]</t>
  </si>
  <si>
    <t>Ilość jezdni</t>
  </si>
  <si>
    <t>FVT/SLVT lub inne do 5 m</t>
  </si>
  <si>
    <t xml:space="preserve">FVT/SLVT lub inne wymienione w specyfikacji </t>
  </si>
  <si>
    <t>procentowa
 wartość elementu
 wobec danego etapu</t>
  </si>
  <si>
    <t>Dane na podst. tab. 20.4 wiersz 3</t>
  </si>
  <si>
    <t>wsp.
Okonturowania -&gt;</t>
  </si>
  <si>
    <t>Analizy i prognoza ruchu</t>
  </si>
  <si>
    <t>średnia głębokość na drogach innych</t>
  </si>
  <si>
    <t>ilość próbek w przekroju dróg innych</t>
  </si>
  <si>
    <t>rozstaw przekrojów na drogach innych</t>
  </si>
  <si>
    <t>drogi inne i łącznice</t>
  </si>
  <si>
    <t>S</t>
  </si>
  <si>
    <t>proj. Org ruchu</t>
  </si>
  <si>
    <t>mat. Do audytu brd</t>
  </si>
  <si>
    <t>Obiekty</t>
  </si>
  <si>
    <t>Drogi</t>
  </si>
  <si>
    <t>Przepusty większe</t>
  </si>
  <si>
    <t>ilość przepustów</t>
  </si>
  <si>
    <t>ilość próbek na przepust</t>
  </si>
  <si>
    <t>Zbiorniki</t>
  </si>
  <si>
    <t>ilość zbiorników</t>
  </si>
  <si>
    <t>średnia głębokość na zbiornik</t>
  </si>
  <si>
    <t>ilość na zbiornik</t>
  </si>
  <si>
    <t>średnia głębokośc na przepust</t>
  </si>
  <si>
    <t>obiekty, przepusty i zbiorniki - ponad 5m</t>
  </si>
  <si>
    <t>Roboty geologiczne podsumowanie</t>
  </si>
  <si>
    <t>Ilość węzłów (S):</t>
  </si>
  <si>
    <t>ilość skrzyżowań (GP)</t>
  </si>
  <si>
    <t>razem (S) + (GP)</t>
  </si>
  <si>
    <t>% z całości</t>
  </si>
  <si>
    <t>kwota</t>
  </si>
  <si>
    <t>kwota do TER</t>
  </si>
  <si>
    <t>sprawdzenie</t>
  </si>
  <si>
    <t xml:space="preserve"> - ilość włączeń na węzłach/skrzyżowań skanalizowanych</t>
  </si>
  <si>
    <t>Prognoza i analizy ruchu</t>
  </si>
  <si>
    <t>sondowania drogi pozostałe</t>
  </si>
  <si>
    <t>1x2</t>
  </si>
  <si>
    <t>KR5</t>
  </si>
  <si>
    <t>ilość podpór oszacowana z rysunku STES</t>
  </si>
  <si>
    <t>ilość przepustów oszacowana: 2szt/km</t>
  </si>
  <si>
    <t>ilość na podstawie oszacowanie własne</t>
  </si>
  <si>
    <t>ha - pas szerokości ok. 100m / km trasy</t>
  </si>
  <si>
    <t>ETAP I - Decyzja Środowiskowa</t>
  </si>
  <si>
    <t>wniosek o Decyzję Środowiskową z załącznikami</t>
  </si>
  <si>
    <t>ETAP II - Materiały wyjściowe do PiB</t>
  </si>
  <si>
    <t>Koncepcja z przedmiarami i kosztorysami</t>
  </si>
  <si>
    <t>max. 10%</t>
  </si>
  <si>
    <t>min. 50%</t>
  </si>
  <si>
    <t>projekt robót geologicznych</t>
  </si>
  <si>
    <t>ROOS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</si>
  <si>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</si>
  <si>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</si>
  <si>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</si>
  <si>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</si>
  <si>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</si>
  <si>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</si>
  <si>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</si>
  <si>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</si>
  <si>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</si>
  <si>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</si>
  <si>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</si>
  <si>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Raport o oddziaływaniu na środowisko</t>
  </si>
  <si>
    <t>W-41004 skrzyżowania wielopoziomowe</t>
  </si>
  <si>
    <t>W-41003 droga dwujezdniowa</t>
  </si>
  <si>
    <t>D-41002 zatoki autobusowe</t>
  </si>
  <si>
    <t>D-41003 skrzyżowania skanalizowane</t>
  </si>
  <si>
    <t>D-41006 obiekty inżynierskie</t>
  </si>
  <si>
    <t>D-41010 uzbrojenie terenu</t>
  </si>
  <si>
    <t>sondowania przepusty</t>
  </si>
  <si>
    <t>sondowania przepusty ilość na przepust</t>
  </si>
  <si>
    <t>średnia głębokość naprzepust</t>
  </si>
  <si>
    <t>Tabela Elementów Rozliczeniowych</t>
  </si>
  <si>
    <t>min. 50%
sumy wartości pozycji 1-3</t>
  </si>
  <si>
    <t>max. 25% sumy wartości pozycji 6.1 - 6.9</t>
  </si>
  <si>
    <t>max.10% sumy wartości pozycji 6.1 - 6.9</t>
  </si>
  <si>
    <t>max. 20% 
sumy wartości pozycji 1-3</t>
  </si>
  <si>
    <t>Koncepcja rozbudowy drogi krajowej nr 50 na odcinku przejścia przez m. Stanisławów od km 224+800 do km 229+920 wraz z uzyskaniem Decyzji o Środowiskowych Uwarunkowaniach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</si>
</sst>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_ ;[Red]\-#,##0.00\ "/>
    <numFmt numFmtId="165" formatCode="#,##0_ ;[Red]\-#,##0\ "/>
    <numFmt numFmtId="166" formatCode="0.0%"/>
    <numFmt numFmtId="167" formatCode="0&quot; )&quot;"/>
    <numFmt numFmtId="168" formatCode="#,##0.00\ &quot;zł&quot;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sz val="10"/>
      <color rgb="FF0070C0"/>
      <name val="Verdan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70C0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u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6"/>
      <name val="Verdana"/>
      <family val="2"/>
      <charset val="238"/>
    </font>
    <font>
      <b/>
      <sz val="10"/>
      <color theme="1"/>
      <name val="Verdana"/>
      <family val="2"/>
      <charset val="238"/>
    </font>
    <font>
      <u/>
      <sz val="9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0" tint="-0.249977111117893"/>
      <name val="Calibri"/>
      <family val="2"/>
      <scheme val="minor"/>
    </font>
    <font>
      <sz val="9"/>
      <color theme="0" tint="-0.249977111117893"/>
      <name val="Calibri"/>
      <family val="2"/>
      <scheme val="minor"/>
    </font>
    <font>
      <u/>
      <sz val="9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u/>
      <sz val="11"/>
      <color theme="0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7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hair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332">
    <xf numFmtId="0" fontId="0" fillId="0" borderId="0" xfId="0"/>
    <xf numFmtId="0" fontId="2" fillId="0" borderId="0" xfId="0" applyFont="1"/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41" xfId="0" applyBorder="1"/>
    <xf numFmtId="0" fontId="0" fillId="0" borderId="22" xfId="0" applyBorder="1"/>
    <xf numFmtId="0" fontId="0" fillId="0" borderId="22" xfId="0" applyBorder="1" applyAlignment="1">
      <alignment horizontal="center" vertical="center"/>
    </xf>
    <xf numFmtId="0" fontId="0" fillId="0" borderId="43" xfId="0" applyBorder="1"/>
    <xf numFmtId="0" fontId="0" fillId="0" borderId="44" xfId="0" applyBorder="1"/>
    <xf numFmtId="0" fontId="0" fillId="0" borderId="4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42" xfId="0" applyBorder="1"/>
    <xf numFmtId="0" fontId="0" fillId="0" borderId="47" xfId="0" applyBorder="1"/>
    <xf numFmtId="0" fontId="16" fillId="0" borderId="0" xfId="0" applyFont="1" applyBorder="1" applyAlignment="1">
      <alignment horizontal="center" vertical="center" wrapText="1"/>
    </xf>
    <xf numFmtId="0" fontId="0" fillId="0" borderId="48" xfId="0" applyBorder="1"/>
    <xf numFmtId="0" fontId="0" fillId="0" borderId="49" xfId="0" applyBorder="1"/>
    <xf numFmtId="0" fontId="8" fillId="0" borderId="36" xfId="0" applyFont="1" applyFill="1" applyBorder="1" applyAlignment="1">
      <alignment horizontal="center" vertical="center"/>
    </xf>
    <xf numFmtId="165" fontId="8" fillId="0" borderId="2" xfId="0" applyNumberFormat="1" applyFont="1" applyFill="1" applyBorder="1" applyAlignment="1">
      <alignment horizontal="right" vertical="center"/>
    </xf>
    <xf numFmtId="165" fontId="8" fillId="0" borderId="4" xfId="0" applyNumberFormat="1" applyFont="1" applyFill="1" applyBorder="1" applyAlignment="1">
      <alignment horizontal="right" vertical="center"/>
    </xf>
    <xf numFmtId="0" fontId="18" fillId="4" borderId="0" xfId="0" applyFont="1" applyFill="1"/>
    <xf numFmtId="0" fontId="20" fillId="4" borderId="0" xfId="0" applyFont="1" applyFill="1"/>
    <xf numFmtId="0" fontId="0" fillId="0" borderId="25" xfId="0" applyBorder="1" applyAlignment="1">
      <alignment horizontal="center" vertical="center"/>
    </xf>
    <xf numFmtId="0" fontId="0" fillId="2" borderId="0" xfId="0" applyFill="1"/>
    <xf numFmtId="0" fontId="14" fillId="0" borderId="22" xfId="0" applyFont="1" applyBorder="1"/>
    <xf numFmtId="164" fontId="6" fillId="0" borderId="21" xfId="0" applyNumberFormat="1" applyFont="1" applyBorder="1" applyAlignment="1">
      <alignment horizontal="right" vertical="center"/>
    </xf>
    <xf numFmtId="0" fontId="27" fillId="0" borderId="0" xfId="0" applyFont="1" applyBorder="1" applyAlignment="1">
      <alignment vertical="center"/>
    </xf>
    <xf numFmtId="0" fontId="8" fillId="0" borderId="53" xfId="0" applyFont="1" applyBorder="1" applyAlignment="1">
      <alignment vertical="top"/>
    </xf>
    <xf numFmtId="0" fontId="8" fillId="0" borderId="13" xfId="0" applyFont="1" applyBorder="1" applyAlignment="1">
      <alignment horizontal="center" vertical="center"/>
    </xf>
    <xf numFmtId="167" fontId="0" fillId="0" borderId="0" xfId="0" applyNumberFormat="1" applyBorder="1"/>
    <xf numFmtId="0" fontId="0" fillId="0" borderId="0" xfId="0" applyBorder="1" applyAlignment="1">
      <alignment vertical="center"/>
    </xf>
    <xf numFmtId="0" fontId="0" fillId="0" borderId="48" xfId="0" applyBorder="1" applyAlignment="1">
      <alignment vertical="center"/>
    </xf>
    <xf numFmtId="167" fontId="25" fillId="0" borderId="0" xfId="0" applyNumberFormat="1" applyFont="1" applyBorder="1"/>
    <xf numFmtId="0" fontId="25" fillId="0" borderId="0" xfId="0" applyFont="1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26" fillId="0" borderId="0" xfId="0" applyFont="1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0" fillId="0" borderId="0" xfId="0" applyBorder="1" applyAlignment="1">
      <alignment horizontal="right" vertical="center"/>
    </xf>
    <xf numFmtId="168" fontId="0" fillId="0" borderId="0" xfId="0" applyNumberForma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/>
    <xf numFmtId="168" fontId="29" fillId="0" borderId="0" xfId="0" applyNumberFormat="1" applyFont="1" applyBorder="1" applyAlignment="1">
      <alignment vertical="center"/>
    </xf>
    <xf numFmtId="0" fontId="25" fillId="0" borderId="48" xfId="0" applyFont="1" applyBorder="1" applyAlignment="1">
      <alignment vertical="center"/>
    </xf>
    <xf numFmtId="168" fontId="29" fillId="0" borderId="0" xfId="0" applyNumberFormat="1" applyFont="1" applyBorder="1"/>
    <xf numFmtId="0" fontId="0" fillId="0" borderId="0" xfId="0" applyFill="1" applyBorder="1"/>
    <xf numFmtId="0" fontId="8" fillId="0" borderId="27" xfId="0" applyFont="1" applyBorder="1" applyAlignment="1">
      <alignment horizontal="center" vertical="top"/>
    </xf>
    <xf numFmtId="0" fontId="14" fillId="4" borderId="44" xfId="0" applyFont="1" applyFill="1" applyBorder="1"/>
    <xf numFmtId="0" fontId="20" fillId="4" borderId="0" xfId="0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horizontal="center" vertical="center"/>
    </xf>
    <xf numFmtId="0" fontId="0" fillId="2" borderId="1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20" fillId="4" borderId="0" xfId="0" applyFont="1" applyFill="1" applyAlignment="1">
      <alignment vertical="center"/>
    </xf>
    <xf numFmtId="0" fontId="0" fillId="0" borderId="22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22" xfId="0" applyFill="1" applyBorder="1" applyAlignment="1">
      <alignment vertical="center"/>
    </xf>
    <xf numFmtId="0" fontId="0" fillId="2" borderId="44" xfId="0" applyFill="1" applyBorder="1" applyAlignment="1">
      <alignment vertical="center"/>
    </xf>
    <xf numFmtId="0" fontId="21" fillId="0" borderId="0" xfId="0" applyFont="1" applyAlignment="1">
      <alignment vertical="center"/>
    </xf>
    <xf numFmtId="0" fontId="18" fillId="4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0" fillId="0" borderId="24" xfId="0" applyBorder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22" xfId="0" applyFont="1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1" xfId="0" applyBorder="1" applyAlignment="1">
      <alignment vertical="center" wrapText="1"/>
    </xf>
    <xf numFmtId="0" fontId="0" fillId="0" borderId="41" xfId="0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6" fontId="20" fillId="4" borderId="0" xfId="1" applyNumberFormat="1" applyFont="1" applyFill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49" xfId="0" applyBorder="1" applyAlignment="1">
      <alignment vertical="center"/>
    </xf>
    <xf numFmtId="0" fontId="14" fillId="0" borderId="41" xfId="0" applyFont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43" xfId="0" applyBorder="1" applyAlignment="1">
      <alignment vertical="center"/>
    </xf>
    <xf numFmtId="0" fontId="0" fillId="0" borderId="41" xfId="0" applyFill="1" applyBorder="1" applyAlignment="1">
      <alignment vertical="center"/>
    </xf>
    <xf numFmtId="0" fontId="0" fillId="0" borderId="43" xfId="0" applyFill="1" applyBorder="1" applyAlignment="1">
      <alignment vertical="center"/>
    </xf>
    <xf numFmtId="0" fontId="0" fillId="0" borderId="42" xfId="0" applyBorder="1" applyAlignment="1">
      <alignment vertical="center"/>
    </xf>
    <xf numFmtId="0" fontId="16" fillId="0" borderId="44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4" fontId="0" fillId="0" borderId="48" xfId="0" applyNumberForma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45" xfId="0" applyFont="1" applyBorder="1" applyAlignment="1">
      <alignment vertical="center"/>
    </xf>
    <xf numFmtId="0" fontId="18" fillId="0" borderId="46" xfId="0" applyFont="1" applyBorder="1" applyAlignment="1">
      <alignment vertical="center"/>
    </xf>
    <xf numFmtId="164" fontId="0" fillId="0" borderId="52" xfId="0" applyNumberFormat="1" applyBorder="1" applyAlignment="1">
      <alignment vertical="center"/>
    </xf>
    <xf numFmtId="0" fontId="17" fillId="0" borderId="41" xfId="0" applyFont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164" fontId="17" fillId="0" borderId="48" xfId="0" applyNumberFormat="1" applyFont="1" applyFill="1" applyBorder="1" applyAlignment="1">
      <alignment vertical="center"/>
    </xf>
    <xf numFmtId="0" fontId="17" fillId="0" borderId="41" xfId="0" applyFont="1" applyBorder="1" applyAlignment="1">
      <alignment horizontal="right" vertical="center"/>
    </xf>
    <xf numFmtId="164" fontId="14" fillId="0" borderId="0" xfId="0" applyNumberFormat="1" applyFont="1" applyAlignment="1">
      <alignment vertical="center"/>
    </xf>
    <xf numFmtId="0" fontId="0" fillId="0" borderId="41" xfId="0" applyBorder="1" applyAlignment="1">
      <alignment horizontal="right" vertical="center"/>
    </xf>
    <xf numFmtId="0" fontId="18" fillId="2" borderId="0" xfId="0" applyFont="1" applyFill="1" applyBorder="1" applyAlignment="1">
      <alignment vertical="center"/>
    </xf>
    <xf numFmtId="0" fontId="18" fillId="0" borderId="44" xfId="0" applyFont="1" applyBorder="1" applyAlignment="1">
      <alignment vertical="center"/>
    </xf>
    <xf numFmtId="164" fontId="0" fillId="0" borderId="49" xfId="0" applyNumberFormat="1" applyBorder="1" applyAlignment="1">
      <alignment vertical="center"/>
    </xf>
    <xf numFmtId="0" fontId="16" fillId="0" borderId="22" xfId="0" applyFont="1" applyBorder="1" applyAlignment="1">
      <alignment horizontal="center" vertical="center" wrapText="1"/>
    </xf>
    <xf numFmtId="0" fontId="0" fillId="0" borderId="54" xfId="0" applyBorder="1" applyAlignment="1">
      <alignment vertical="center"/>
    </xf>
    <xf numFmtId="0" fontId="0" fillId="2" borderId="55" xfId="0" applyFill="1" applyBorder="1" applyAlignment="1">
      <alignment vertical="center"/>
    </xf>
    <xf numFmtId="0" fontId="0" fillId="0" borderId="56" xfId="0" applyBorder="1" applyAlignment="1">
      <alignment horizontal="center" vertical="center"/>
    </xf>
    <xf numFmtId="0" fontId="30" fillId="0" borderId="11" xfId="0" applyFont="1" applyBorder="1" applyAlignment="1">
      <alignment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/>
    </xf>
    <xf numFmtId="165" fontId="8" fillId="0" borderId="51" xfId="0" applyNumberFormat="1" applyFont="1" applyFill="1" applyBorder="1" applyAlignment="1">
      <alignment horizontal="right" vertical="center"/>
    </xf>
    <xf numFmtId="0" fontId="18" fillId="0" borderId="22" xfId="0" applyFont="1" applyBorder="1" applyAlignment="1">
      <alignment vertical="center"/>
    </xf>
    <xf numFmtId="164" fontId="0" fillId="0" borderId="47" xfId="0" applyNumberForma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vertical="center"/>
    </xf>
    <xf numFmtId="0" fontId="19" fillId="0" borderId="0" xfId="0" applyFont="1" applyBorder="1" applyAlignment="1">
      <alignment vertical="center"/>
    </xf>
    <xf numFmtId="0" fontId="17" fillId="0" borderId="48" xfId="0" applyFont="1" applyBorder="1" applyAlignment="1">
      <alignment vertical="center"/>
    </xf>
    <xf numFmtId="0" fontId="0" fillId="0" borderId="43" xfId="0" applyBorder="1" applyAlignment="1">
      <alignment horizontal="right" vertical="center"/>
    </xf>
    <xf numFmtId="0" fontId="18" fillId="2" borderId="44" xfId="0" applyFont="1" applyFill="1" applyBorder="1" applyAlignment="1">
      <alignment vertical="center"/>
    </xf>
    <xf numFmtId="0" fontId="0" fillId="0" borderId="24" xfId="0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6" fillId="0" borderId="39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39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8" fillId="0" borderId="35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8" fillId="0" borderId="31" xfId="0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vertical="center"/>
    </xf>
    <xf numFmtId="0" fontId="8" fillId="0" borderId="33" xfId="0" applyFont="1" applyBorder="1" applyAlignment="1">
      <alignment horizontal="right" vertical="center"/>
    </xf>
    <xf numFmtId="0" fontId="8" fillId="0" borderId="37" xfId="0" applyFont="1" applyBorder="1" applyAlignment="1">
      <alignment horizontal="center" vertical="center"/>
    </xf>
    <xf numFmtId="165" fontId="8" fillId="0" borderId="37" xfId="0" applyNumberFormat="1" applyFont="1" applyBorder="1" applyAlignment="1">
      <alignment vertical="center"/>
    </xf>
    <xf numFmtId="165" fontId="8" fillId="0" borderId="6" xfId="0" applyNumberFormat="1" applyFont="1" applyBorder="1" applyAlignment="1">
      <alignment horizontal="right" vertical="center"/>
    </xf>
    <xf numFmtId="165" fontId="8" fillId="0" borderId="6" xfId="0" applyNumberFormat="1" applyFont="1" applyBorder="1" applyAlignment="1">
      <alignment vertical="center"/>
    </xf>
    <xf numFmtId="0" fontId="8" fillId="0" borderId="37" xfId="0" applyFont="1" applyBorder="1" applyAlignment="1">
      <alignment horizontal="right" vertical="center"/>
    </xf>
    <xf numFmtId="0" fontId="8" fillId="2" borderId="6" xfId="0" applyFont="1" applyFill="1" applyBorder="1" applyAlignment="1">
      <alignment vertical="center"/>
    </xf>
    <xf numFmtId="165" fontId="8" fillId="2" borderId="6" xfId="0" applyNumberFormat="1" applyFont="1" applyFill="1" applyBorder="1" applyAlignment="1">
      <alignment vertical="center"/>
    </xf>
    <xf numFmtId="0" fontId="8" fillId="0" borderId="4" xfId="0" applyFont="1" applyBorder="1" applyAlignment="1">
      <alignment horizontal="right" vertical="center"/>
    </xf>
    <xf numFmtId="0" fontId="8" fillId="0" borderId="1" xfId="0" applyFont="1" applyBorder="1" applyAlignment="1">
      <alignment vertical="center" wrapText="1"/>
    </xf>
    <xf numFmtId="0" fontId="8" fillId="0" borderId="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8" fillId="0" borderId="29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9" fontId="18" fillId="0" borderId="0" xfId="1" applyFont="1" applyBorder="1" applyAlignment="1">
      <alignment vertical="center"/>
    </xf>
    <xf numFmtId="9" fontId="18" fillId="2" borderId="0" xfId="1" applyFont="1" applyFill="1" applyBorder="1" applyAlignment="1">
      <alignment vertical="center"/>
    </xf>
    <xf numFmtId="0" fontId="18" fillId="4" borderId="0" xfId="0" applyFont="1" applyFill="1" applyBorder="1" applyAlignment="1">
      <alignment vertical="center"/>
    </xf>
    <xf numFmtId="9" fontId="19" fillId="2" borderId="0" xfId="1" applyFont="1" applyFill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18" fillId="4" borderId="44" xfId="0" applyFont="1" applyFill="1" applyBorder="1" applyAlignment="1">
      <alignment vertical="center"/>
    </xf>
    <xf numFmtId="164" fontId="18" fillId="4" borderId="0" xfId="0" applyNumberFormat="1" applyFont="1" applyFill="1" applyAlignment="1">
      <alignment vertical="center"/>
    </xf>
    <xf numFmtId="165" fontId="8" fillId="0" borderId="2" xfId="0" applyNumberFormat="1" applyFont="1" applyBorder="1" applyAlignment="1">
      <alignment horizontal="right" vertical="center"/>
    </xf>
    <xf numFmtId="165" fontId="8" fillId="0" borderId="37" xfId="0" applyNumberFormat="1" applyFont="1" applyBorder="1" applyAlignment="1">
      <alignment horizontal="right" vertical="center"/>
    </xf>
    <xf numFmtId="165" fontId="8" fillId="0" borderId="50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165" fontId="0" fillId="0" borderId="0" xfId="0" applyNumberFormat="1"/>
    <xf numFmtId="168" fontId="25" fillId="0" borderId="0" xfId="0" applyNumberFormat="1" applyFont="1" applyFill="1" applyBorder="1" applyAlignment="1">
      <alignment horizontal="right" vertical="center"/>
    </xf>
    <xf numFmtId="0" fontId="25" fillId="0" borderId="0" xfId="0" applyFont="1" applyFill="1" applyBorder="1" applyAlignment="1">
      <alignment horizontal="right" vertical="center"/>
    </xf>
    <xf numFmtId="0" fontId="20" fillId="4" borderId="0" xfId="0" applyFont="1" applyFill="1" applyBorder="1" applyAlignment="1">
      <alignment vertical="center"/>
    </xf>
    <xf numFmtId="0" fontId="20" fillId="2" borderId="44" xfId="0" applyFont="1" applyFill="1" applyBorder="1" applyAlignment="1">
      <alignment vertical="center"/>
    </xf>
    <xf numFmtId="0" fontId="22" fillId="4" borderId="0" xfId="0" applyFont="1" applyFill="1" applyBorder="1" applyAlignment="1">
      <alignment vertical="center"/>
    </xf>
    <xf numFmtId="2" fontId="0" fillId="0" borderId="0" xfId="0" applyNumberForma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20" fillId="2" borderId="0" xfId="0" applyFont="1" applyFill="1" applyBorder="1" applyAlignment="1">
      <alignment vertical="center"/>
    </xf>
    <xf numFmtId="0" fontId="16" fillId="0" borderId="44" xfId="0" applyFont="1" applyBorder="1" applyAlignment="1">
      <alignment horizontal="center" vertical="center" wrapText="1"/>
    </xf>
    <xf numFmtId="0" fontId="0" fillId="0" borderId="42" xfId="0" applyFill="1" applyBorder="1" applyAlignment="1">
      <alignment vertical="center"/>
    </xf>
    <xf numFmtId="0" fontId="20" fillId="2" borderId="22" xfId="0" applyFont="1" applyFill="1" applyBorder="1" applyAlignment="1">
      <alignment vertical="center"/>
    </xf>
    <xf numFmtId="0" fontId="0" fillId="0" borderId="22" xfId="0" applyFill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20" fillId="4" borderId="44" xfId="0" applyFont="1" applyFill="1" applyBorder="1" applyAlignment="1">
      <alignment vertical="center"/>
    </xf>
    <xf numFmtId="0" fontId="8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0" fontId="8" fillId="0" borderId="44" xfId="0" applyFont="1" applyBorder="1" applyAlignment="1">
      <alignment vertical="center"/>
    </xf>
    <xf numFmtId="0" fontId="29" fillId="0" borderId="0" xfId="0" applyFont="1" applyBorder="1" applyAlignment="1">
      <alignment horizontal="left" vertical="top"/>
    </xf>
    <xf numFmtId="0" fontId="0" fillId="0" borderId="0" xfId="0" applyBorder="1" applyAlignment="1">
      <alignment horizontal="right"/>
    </xf>
    <xf numFmtId="0" fontId="8" fillId="0" borderId="26" xfId="0" applyFont="1" applyBorder="1" applyAlignment="1">
      <alignment horizontal="center" vertical="top"/>
    </xf>
    <xf numFmtId="0" fontId="8" fillId="0" borderId="57" xfId="0" applyFont="1" applyBorder="1" applyAlignment="1">
      <alignment vertical="top"/>
    </xf>
    <xf numFmtId="0" fontId="17" fillId="0" borderId="47" xfId="0" applyFont="1" applyBorder="1" applyAlignment="1">
      <alignment horizontal="right"/>
    </xf>
    <xf numFmtId="0" fontId="8" fillId="0" borderId="58" xfId="0" applyFont="1" applyBorder="1" applyAlignment="1">
      <alignment horizontal="left" vertical="center"/>
    </xf>
    <xf numFmtId="9" fontId="0" fillId="0" borderId="1" xfId="1" applyFont="1" applyBorder="1"/>
    <xf numFmtId="0" fontId="0" fillId="0" borderId="1" xfId="0" applyBorder="1"/>
    <xf numFmtId="0" fontId="0" fillId="0" borderId="19" xfId="0" applyBorder="1"/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8" fontId="29" fillId="0" borderId="44" xfId="0" applyNumberFormat="1" applyFont="1" applyBorder="1"/>
    <xf numFmtId="0" fontId="29" fillId="0" borderId="44" xfId="0" applyFont="1" applyBorder="1" applyAlignment="1">
      <alignment horizontal="left" vertical="top"/>
    </xf>
    <xf numFmtId="168" fontId="14" fillId="0" borderId="0" xfId="0" applyNumberFormat="1" applyFont="1"/>
    <xf numFmtId="9" fontId="30" fillId="0" borderId="0" xfId="0" applyNumberFormat="1" applyFont="1"/>
    <xf numFmtId="0" fontId="30" fillId="0" borderId="0" xfId="0" applyFont="1"/>
    <xf numFmtId="165" fontId="30" fillId="0" borderId="0" xfId="0" applyNumberFormat="1" applyFont="1"/>
    <xf numFmtId="0" fontId="0" fillId="0" borderId="0" xfId="0" applyAlignment="1">
      <alignment horizontal="right"/>
    </xf>
    <xf numFmtId="0" fontId="30" fillId="0" borderId="0" xfId="0" applyFont="1" applyBorder="1"/>
    <xf numFmtId="9" fontId="0" fillId="0" borderId="19" xfId="1" applyFont="1" applyBorder="1"/>
    <xf numFmtId="0" fontId="14" fillId="0" borderId="44" xfId="0" applyFont="1" applyBorder="1"/>
    <xf numFmtId="167" fontId="0" fillId="5" borderId="0" xfId="0" applyNumberFormat="1" applyFill="1" applyBorder="1"/>
    <xf numFmtId="0" fontId="0" fillId="5" borderId="0" xfId="0" applyFill="1" applyBorder="1" applyAlignment="1">
      <alignment horizontal="center" vertical="center"/>
    </xf>
    <xf numFmtId="0" fontId="0" fillId="5" borderId="0" xfId="0" applyFill="1" applyBorder="1"/>
    <xf numFmtId="3" fontId="14" fillId="0" borderId="0" xfId="0" applyNumberFormat="1" applyFont="1" applyBorder="1" applyAlignment="1">
      <alignment horizontal="right" vertical="center"/>
    </xf>
    <xf numFmtId="168" fontId="0" fillId="5" borderId="0" xfId="0" applyNumberFormat="1" applyFill="1" applyBorder="1" applyAlignment="1">
      <alignment horizontal="right" vertical="center"/>
    </xf>
    <xf numFmtId="168" fontId="29" fillId="5" borderId="0" xfId="0" applyNumberFormat="1" applyFont="1" applyFill="1" applyBorder="1" applyAlignment="1">
      <alignment vertical="center"/>
    </xf>
    <xf numFmtId="168" fontId="29" fillId="5" borderId="0" xfId="0" applyNumberFormat="1" applyFont="1" applyFill="1" applyBorder="1"/>
    <xf numFmtId="168" fontId="0" fillId="0" borderId="0" xfId="0" applyNumberFormat="1"/>
    <xf numFmtId="168" fontId="29" fillId="0" borderId="0" xfId="0" applyNumberFormat="1" applyFont="1" applyFill="1" applyBorder="1" applyAlignment="1">
      <alignment horizontal="right" vertical="center"/>
    </xf>
    <xf numFmtId="168" fontId="29" fillId="5" borderId="0" xfId="0" applyNumberFormat="1" applyFont="1" applyFill="1" applyBorder="1" applyAlignment="1">
      <alignment horizontal="right" vertical="center"/>
    </xf>
    <xf numFmtId="3" fontId="34" fillId="4" borderId="16" xfId="0" applyNumberFormat="1" applyFont="1" applyFill="1" applyBorder="1" applyAlignment="1">
      <alignment horizontal="right" vertical="center"/>
    </xf>
    <xf numFmtId="3" fontId="34" fillId="4" borderId="20" xfId="0" applyNumberFormat="1" applyFont="1" applyFill="1" applyBorder="1" applyAlignment="1">
      <alignment horizontal="right" vertical="center"/>
    </xf>
    <xf numFmtId="168" fontId="29" fillId="0" borderId="0" xfId="0" applyNumberFormat="1" applyFont="1"/>
    <xf numFmtId="0" fontId="8" fillId="0" borderId="5" xfId="0" applyFont="1" applyBorder="1" applyAlignment="1">
      <alignment vertical="center"/>
    </xf>
    <xf numFmtId="0" fontId="8" fillId="2" borderId="33" xfId="0" applyFont="1" applyFill="1" applyBorder="1" applyAlignment="1">
      <alignment vertical="center"/>
    </xf>
    <xf numFmtId="0" fontId="8" fillId="2" borderId="34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vertical="center"/>
    </xf>
    <xf numFmtId="0" fontId="8" fillId="0" borderId="44" xfId="0" applyFont="1" applyBorder="1" applyAlignment="1">
      <alignment horizontal="right" vertical="center" wrapText="1"/>
    </xf>
    <xf numFmtId="0" fontId="17" fillId="0" borderId="49" xfId="0" applyFont="1" applyBorder="1" applyAlignment="1">
      <alignment horizontal="left"/>
    </xf>
    <xf numFmtId="164" fontId="8" fillId="0" borderId="40" xfId="0" applyNumberFormat="1" applyFont="1" applyBorder="1" applyAlignment="1">
      <alignment horizontal="right" vertical="center"/>
    </xf>
    <xf numFmtId="164" fontId="8" fillId="0" borderId="5" xfId="0" applyNumberFormat="1" applyFont="1" applyBorder="1" applyAlignment="1">
      <alignment horizontal="right" vertical="center"/>
    </xf>
    <xf numFmtId="4" fontId="0" fillId="0" borderId="0" xfId="0" applyNumberFormat="1" applyFill="1" applyAlignment="1">
      <alignment horizontal="center" vertical="center"/>
    </xf>
    <xf numFmtId="4" fontId="0" fillId="0" borderId="0" xfId="0" applyNumberForma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horizontal="right" vertical="center"/>
    </xf>
    <xf numFmtId="10" fontId="0" fillId="0" borderId="0" xfId="1" applyNumberFormat="1" applyFont="1"/>
    <xf numFmtId="0" fontId="35" fillId="0" borderId="42" xfId="0" applyFont="1" applyBorder="1" applyAlignment="1">
      <alignment vertical="center" wrapText="1"/>
    </xf>
    <xf numFmtId="0" fontId="35" fillId="2" borderId="22" xfId="0" applyFont="1" applyFill="1" applyBorder="1" applyAlignment="1">
      <alignment vertical="center"/>
    </xf>
    <xf numFmtId="0" fontId="35" fillId="0" borderId="22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3" borderId="0" xfId="0" applyFont="1" applyFill="1" applyBorder="1" applyAlignment="1">
      <alignment vertical="center"/>
    </xf>
    <xf numFmtId="0" fontId="35" fillId="0" borderId="41" xfId="0" applyFont="1" applyBorder="1" applyAlignment="1">
      <alignment vertical="center" wrapText="1"/>
    </xf>
    <xf numFmtId="0" fontId="35" fillId="2" borderId="0" xfId="0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vertical="center"/>
    </xf>
    <xf numFmtId="0" fontId="35" fillId="0" borderId="41" xfId="0" applyFont="1" applyBorder="1" applyAlignment="1">
      <alignment vertical="center"/>
    </xf>
    <xf numFmtId="0" fontId="37" fillId="0" borderId="0" xfId="0" applyFont="1" applyBorder="1" applyAlignment="1">
      <alignment horizontal="center" vertical="center"/>
    </xf>
    <xf numFmtId="0" fontId="35" fillId="0" borderId="42" xfId="0" applyFont="1" applyFill="1" applyBorder="1" applyAlignment="1">
      <alignment vertical="center"/>
    </xf>
    <xf numFmtId="0" fontId="38" fillId="2" borderId="22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2" xfId="0" applyFont="1" applyBorder="1" applyAlignment="1">
      <alignment vertical="center"/>
    </xf>
    <xf numFmtId="0" fontId="36" fillId="0" borderId="22" xfId="0" applyFont="1" applyBorder="1" applyAlignment="1">
      <alignment horizontal="center" vertical="center" wrapText="1"/>
    </xf>
    <xf numFmtId="0" fontId="35" fillId="2" borderId="0" xfId="0" applyFont="1" applyFill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6" fillId="0" borderId="0" xfId="0" applyFont="1" applyBorder="1" applyAlignment="1">
      <alignment horizontal="center" vertical="center" wrapText="1"/>
    </xf>
    <xf numFmtId="0" fontId="35" fillId="0" borderId="41" xfId="0" applyFont="1" applyFill="1" applyBorder="1" applyAlignment="1">
      <alignment vertical="center"/>
    </xf>
    <xf numFmtId="0" fontId="35" fillId="0" borderId="44" xfId="0" applyFont="1" applyFill="1" applyBorder="1" applyAlignment="1">
      <alignment horizontal="center" vertical="center"/>
    </xf>
    <xf numFmtId="0" fontId="38" fillId="4" borderId="0" xfId="0" applyFont="1" applyFill="1" applyBorder="1" applyAlignment="1">
      <alignment vertical="center"/>
    </xf>
    <xf numFmtId="0" fontId="39" fillId="0" borderId="0" xfId="0" applyFont="1" applyBorder="1" applyAlignment="1">
      <alignment vertical="center"/>
    </xf>
    <xf numFmtId="0" fontId="7" fillId="6" borderId="59" xfId="0" applyFont="1" applyFill="1" applyBorder="1" applyAlignment="1">
      <alignment horizontal="center" vertical="center"/>
    </xf>
    <xf numFmtId="0" fontId="7" fillId="6" borderId="61" xfId="0" applyFont="1" applyFill="1" applyBorder="1" applyAlignment="1">
      <alignment horizontal="center" vertical="center"/>
    </xf>
    <xf numFmtId="0" fontId="7" fillId="6" borderId="62" xfId="0" applyFont="1" applyFill="1" applyBorder="1" applyAlignment="1">
      <alignment horizontal="center" vertical="center" wrapText="1"/>
    </xf>
    <xf numFmtId="0" fontId="7" fillId="0" borderId="63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6" fillId="0" borderId="65" xfId="0" applyFont="1" applyBorder="1" applyAlignment="1">
      <alignment horizontal="left" vertical="center"/>
    </xf>
    <xf numFmtId="0" fontId="8" fillId="0" borderId="65" xfId="0" applyFont="1" applyBorder="1" applyAlignment="1">
      <alignment vertical="center"/>
    </xf>
    <xf numFmtId="0" fontId="8" fillId="6" borderId="66" xfId="0" applyFont="1" applyFill="1" applyBorder="1" applyAlignment="1">
      <alignment horizontal="center" vertical="center"/>
    </xf>
    <xf numFmtId="0" fontId="8" fillId="6" borderId="67" xfId="0" applyFont="1" applyFill="1" applyBorder="1" applyAlignment="1">
      <alignment horizontal="left" vertical="center"/>
    </xf>
    <xf numFmtId="0" fontId="8" fillId="6" borderId="67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left" vertical="center"/>
    </xf>
    <xf numFmtId="168" fontId="0" fillId="0" borderId="0" xfId="0" applyNumberFormat="1" applyBorder="1"/>
    <xf numFmtId="0" fontId="8" fillId="0" borderId="64" xfId="0" applyFont="1" applyBorder="1" applyAlignment="1">
      <alignment horizontal="left" vertical="center" wrapText="1"/>
    </xf>
    <xf numFmtId="0" fontId="7" fillId="0" borderId="67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7" fillId="6" borderId="61" xfId="0" applyFont="1" applyFill="1" applyBorder="1" applyAlignment="1">
      <alignment horizontal="center" vertical="center" wrapText="1"/>
    </xf>
    <xf numFmtId="164" fontId="8" fillId="0" borderId="64" xfId="0" applyNumberFormat="1" applyFont="1" applyFill="1" applyBorder="1" applyAlignment="1">
      <alignment horizontal="right" vertical="center"/>
    </xf>
    <xf numFmtId="164" fontId="8" fillId="6" borderId="67" xfId="0" applyNumberFormat="1" applyFont="1" applyFill="1" applyBorder="1" applyAlignment="1">
      <alignment horizontal="right" vertical="center"/>
    </xf>
    <xf numFmtId="164" fontId="8" fillId="0" borderId="5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 vertical="center"/>
    </xf>
    <xf numFmtId="0" fontId="3" fillId="2" borderId="34" xfId="0" applyFont="1" applyFill="1" applyBorder="1" applyAlignment="1">
      <alignment horizontal="right" vertical="center"/>
    </xf>
    <xf numFmtId="164" fontId="3" fillId="0" borderId="6" xfId="0" applyNumberFormat="1" applyFont="1" applyBorder="1" applyAlignment="1">
      <alignment horizontal="right" vertical="center"/>
    </xf>
    <xf numFmtId="164" fontId="8" fillId="0" borderId="31" xfId="0" applyNumberFormat="1" applyFont="1" applyBorder="1" applyAlignment="1">
      <alignment horizontal="right" vertical="center"/>
    </xf>
    <xf numFmtId="164" fontId="8" fillId="0" borderId="33" xfId="0" applyNumberFormat="1" applyFont="1" applyBorder="1" applyAlignment="1">
      <alignment horizontal="right" vertical="center"/>
    </xf>
    <xf numFmtId="164" fontId="8" fillId="0" borderId="6" xfId="0" applyNumberFormat="1" applyFont="1" applyBorder="1" applyAlignment="1">
      <alignment horizontal="right" vertical="center"/>
    </xf>
    <xf numFmtId="164" fontId="8" fillId="2" borderId="6" xfId="0" applyNumberFormat="1" applyFont="1" applyFill="1" applyBorder="1" applyAlignment="1">
      <alignment horizontal="right" vertical="center"/>
    </xf>
    <xf numFmtId="164" fontId="6" fillId="0" borderId="44" xfId="0" applyNumberFormat="1" applyFont="1" applyBorder="1" applyAlignment="1">
      <alignment horizontal="right" vertical="center"/>
    </xf>
    <xf numFmtId="0" fontId="31" fillId="0" borderId="68" xfId="0" applyFont="1" applyFill="1" applyBorder="1" applyAlignment="1">
      <alignment horizontal="center" vertical="center" wrapText="1"/>
    </xf>
    <xf numFmtId="0" fontId="7" fillId="0" borderId="69" xfId="0" applyFont="1" applyFill="1" applyBorder="1" applyAlignment="1">
      <alignment horizontal="center" vertical="center" wrapText="1"/>
    </xf>
    <xf numFmtId="9" fontId="31" fillId="0" borderId="70" xfId="1" applyFont="1" applyBorder="1" applyAlignment="1">
      <alignment horizontal="center" vertical="center" wrapText="1"/>
    </xf>
    <xf numFmtId="164" fontId="8" fillId="0" borderId="69" xfId="0" applyNumberFormat="1" applyFont="1" applyFill="1" applyBorder="1" applyAlignment="1">
      <alignment horizontal="right" vertical="center"/>
    </xf>
    <xf numFmtId="9" fontId="8" fillId="0" borderId="69" xfId="1" applyFont="1" applyFill="1" applyBorder="1"/>
    <xf numFmtId="9" fontId="31" fillId="0" borderId="70" xfId="1" applyFont="1" applyFill="1" applyBorder="1" applyAlignment="1">
      <alignment horizontal="center" vertical="center" wrapText="1"/>
    </xf>
    <xf numFmtId="9" fontId="31" fillId="0" borderId="71" xfId="1" applyFont="1" applyBorder="1" applyAlignment="1">
      <alignment horizontal="center" vertical="center" wrapText="1"/>
    </xf>
    <xf numFmtId="9" fontId="31" fillId="0" borderId="72" xfId="1" applyFont="1" applyBorder="1" applyAlignment="1">
      <alignment horizontal="center" vertical="center" wrapText="1"/>
    </xf>
    <xf numFmtId="9" fontId="31" fillId="0" borderId="63" xfId="1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6" borderId="60" xfId="0" applyFont="1" applyFill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73" xfId="0" applyFont="1" applyBorder="1" applyAlignment="1">
      <alignment horizontal="left" vertical="center"/>
    </xf>
    <xf numFmtId="0" fontId="8" fillId="0" borderId="18" xfId="0" applyFont="1" applyBorder="1" applyAlignment="1">
      <alignment vertical="center"/>
    </xf>
    <xf numFmtId="0" fontId="0" fillId="0" borderId="58" xfId="0" applyBorder="1" applyAlignment="1">
      <alignment vertical="center"/>
    </xf>
    <xf numFmtId="0" fontId="0" fillId="2" borderId="40" xfId="0" applyFill="1" applyBorder="1" applyAlignment="1">
      <alignment vertical="center"/>
    </xf>
    <xf numFmtId="0" fontId="0" fillId="0" borderId="74" xfId="0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67" fontId="24" fillId="0" borderId="0" xfId="0" applyNumberFormat="1" applyFont="1" applyBorder="1" applyAlignment="1">
      <alignment horizontal="left" vertical="center" wrapText="1"/>
    </xf>
    <xf numFmtId="167" fontId="24" fillId="0" borderId="48" xfId="0" applyNumberFormat="1" applyFont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9"/>
  <sheetViews>
    <sheetView tabSelected="1" view="pageBreakPreview" zoomScaleNormal="80" zoomScaleSheetLayoutView="100" workbookViewId="0">
      <pane xSplit="1350" activePane="topRight"/>
      <selection activeCell="A2" sqref="A2:XFD2"/>
      <selection pane="topRight" activeCell="T24" sqref="T24"/>
    </sheetView>
  </sheetViews>
  <sheetFormatPr defaultColWidth="9.140625" defaultRowHeight="12.75" x14ac:dyDescent="0.2"/>
  <cols>
    <col min="1" max="1" width="9.140625" style="1"/>
    <col min="2" max="2" width="7.42578125" style="1" bestFit="1" customWidth="1"/>
    <col min="3" max="3" width="48.140625" style="1" bestFit="1" customWidth="1"/>
    <col min="4" max="4" width="8" style="1" bestFit="1" customWidth="1"/>
    <col min="5" max="5" width="8.85546875" style="1" bestFit="1" customWidth="1"/>
    <col min="6" max="6" width="7.42578125" style="1" customWidth="1"/>
    <col min="7" max="7" width="18.28515625" style="1" bestFit="1" customWidth="1"/>
    <col min="8" max="8" width="15.7109375" style="1" customWidth="1"/>
    <col min="9" max="9" width="17.28515625" style="1" bestFit="1" customWidth="1"/>
    <col min="10" max="16384" width="9.140625" style="1"/>
  </cols>
  <sheetData>
    <row r="1" spans="2:8" x14ac:dyDescent="0.2">
      <c r="B1" s="324" t="s">
        <v>196</v>
      </c>
      <c r="C1" s="324"/>
      <c r="D1" s="324"/>
      <c r="E1" s="324"/>
      <c r="F1" s="324"/>
      <c r="G1" s="324"/>
      <c r="H1" s="324"/>
    </row>
    <row r="2" spans="2:8" ht="45" customHeight="1" thickBot="1" x14ac:dyDescent="0.25">
      <c r="B2" s="326" t="s">
        <v>201</v>
      </c>
      <c r="C2" s="327"/>
      <c r="D2" s="327"/>
      <c r="E2" s="327"/>
      <c r="F2" s="327"/>
      <c r="G2" s="327"/>
      <c r="H2" s="187"/>
    </row>
    <row r="3" spans="2:8" ht="25.5" customHeight="1" x14ac:dyDescent="0.2">
      <c r="B3" s="2" t="s">
        <v>0</v>
      </c>
      <c r="C3" s="3" t="s">
        <v>6</v>
      </c>
      <c r="D3" s="328" t="s">
        <v>7</v>
      </c>
      <c r="E3" s="329"/>
      <c r="F3" s="4" t="s">
        <v>67</v>
      </c>
      <c r="G3" s="293" t="s">
        <v>8</v>
      </c>
      <c r="H3" s="307" t="s">
        <v>128</v>
      </c>
    </row>
    <row r="4" spans="2:8" ht="20.25" customHeight="1" thickBot="1" x14ac:dyDescent="0.25">
      <c r="B4" s="6"/>
      <c r="C4" s="7"/>
      <c r="D4" s="8" t="s">
        <v>14</v>
      </c>
      <c r="E4" s="9" t="s">
        <v>15</v>
      </c>
      <c r="F4" s="9" t="s">
        <v>16</v>
      </c>
      <c r="G4" s="294" t="s">
        <v>16</v>
      </c>
      <c r="H4" s="308"/>
    </row>
    <row r="5" spans="2:8" ht="27" customHeight="1" x14ac:dyDescent="0.2">
      <c r="B5" s="279"/>
      <c r="C5" s="317" t="s">
        <v>167</v>
      </c>
      <c r="D5" s="280"/>
      <c r="E5" s="281"/>
      <c r="F5" s="281"/>
      <c r="G5" s="295"/>
      <c r="H5" s="282"/>
    </row>
    <row r="6" spans="2:8" ht="28.9" customHeight="1" x14ac:dyDescent="0.2">
      <c r="B6" s="136">
        <v>1</v>
      </c>
      <c r="C6" s="138" t="s">
        <v>159</v>
      </c>
      <c r="D6" s="5" t="s">
        <v>1</v>
      </c>
      <c r="E6" s="137"/>
      <c r="F6" s="137"/>
      <c r="G6" s="250"/>
      <c r="H6" s="309" t="s">
        <v>200</v>
      </c>
    </row>
    <row r="7" spans="2:8" ht="28.15" customHeight="1" x14ac:dyDescent="0.2">
      <c r="B7" s="139">
        <v>2</v>
      </c>
      <c r="C7" s="316" t="s">
        <v>168</v>
      </c>
      <c r="D7" s="5" t="s">
        <v>1</v>
      </c>
      <c r="E7" s="137"/>
      <c r="F7" s="141"/>
      <c r="G7" s="250"/>
      <c r="H7" s="309"/>
    </row>
    <row r="8" spans="2:8" ht="28.15" customHeight="1" thickBot="1" x14ac:dyDescent="0.25">
      <c r="B8" s="283">
        <v>3</v>
      </c>
      <c r="C8" s="292" t="s">
        <v>186</v>
      </c>
      <c r="D8" s="284" t="s">
        <v>1</v>
      </c>
      <c r="E8" s="285"/>
      <c r="F8" s="286"/>
      <c r="G8" s="296"/>
      <c r="H8" s="314"/>
    </row>
    <row r="9" spans="2:8" ht="21" customHeight="1" x14ac:dyDescent="0.2">
      <c r="B9" s="287"/>
      <c r="C9" s="288" t="s">
        <v>169</v>
      </c>
      <c r="D9" s="289"/>
      <c r="E9" s="290"/>
      <c r="F9" s="290"/>
      <c r="G9" s="297"/>
      <c r="H9" s="315"/>
    </row>
    <row r="10" spans="2:8" ht="30.75" customHeight="1" x14ac:dyDescent="0.2">
      <c r="B10" s="139">
        <v>4</v>
      </c>
      <c r="C10" s="140" t="s">
        <v>170</v>
      </c>
      <c r="D10" s="5" t="s">
        <v>1</v>
      </c>
      <c r="E10" s="137"/>
      <c r="F10" s="141"/>
      <c r="G10" s="250"/>
      <c r="H10" s="309" t="s">
        <v>197</v>
      </c>
    </row>
    <row r="11" spans="2:8" ht="25.15" customHeight="1" x14ac:dyDescent="0.2">
      <c r="B11" s="139">
        <v>5</v>
      </c>
      <c r="C11" s="242" t="s">
        <v>2</v>
      </c>
      <c r="D11" s="11" t="s">
        <v>3</v>
      </c>
      <c r="E11" s="11">
        <f>'pozostałe elementy'!F4</f>
        <v>48</v>
      </c>
      <c r="F11" s="134"/>
      <c r="G11" s="298"/>
      <c r="H11" s="310"/>
    </row>
    <row r="12" spans="2:8" x14ac:dyDescent="0.2">
      <c r="B12" s="16">
        <v>6</v>
      </c>
      <c r="C12" s="144" t="s">
        <v>18</v>
      </c>
      <c r="D12" s="145"/>
      <c r="E12" s="146"/>
      <c r="F12" s="147"/>
      <c r="G12" s="299"/>
      <c r="H12" s="311"/>
    </row>
    <row r="13" spans="2:8" x14ac:dyDescent="0.2">
      <c r="B13" s="148"/>
      <c r="C13" s="243" t="s">
        <v>19</v>
      </c>
      <c r="D13" s="244"/>
      <c r="E13" s="245"/>
      <c r="F13" s="246"/>
      <c r="G13" s="300"/>
      <c r="H13" s="311"/>
    </row>
    <row r="14" spans="2:8" x14ac:dyDescent="0.2">
      <c r="B14" s="149"/>
      <c r="C14" s="135" t="s">
        <v>20</v>
      </c>
      <c r="D14" s="150"/>
      <c r="E14" s="151"/>
      <c r="F14" s="152"/>
      <c r="G14" s="301"/>
      <c r="H14" s="311"/>
    </row>
    <row r="15" spans="2:8" x14ac:dyDescent="0.2">
      <c r="B15" s="15" t="s">
        <v>175</v>
      </c>
      <c r="C15" s="153" t="s">
        <v>76</v>
      </c>
      <c r="D15" s="154" t="s">
        <v>27</v>
      </c>
      <c r="E15" s="180">
        <f>Geologia!E40</f>
        <v>160</v>
      </c>
      <c r="F15" s="155"/>
      <c r="G15" s="302"/>
      <c r="H15" s="311"/>
    </row>
    <row r="16" spans="2:8" x14ac:dyDescent="0.2">
      <c r="B16" s="13" t="s">
        <v>176</v>
      </c>
      <c r="C16" s="156" t="s">
        <v>30</v>
      </c>
      <c r="D16" s="157" t="s">
        <v>27</v>
      </c>
      <c r="E16" s="181">
        <f>Geologia!E44</f>
        <v>170</v>
      </c>
      <c r="F16" s="158"/>
      <c r="G16" s="303"/>
      <c r="H16" s="311"/>
    </row>
    <row r="17" spans="2:8" x14ac:dyDescent="0.2">
      <c r="B17" s="14"/>
      <c r="C17" s="135" t="s">
        <v>21</v>
      </c>
      <c r="D17" s="150"/>
      <c r="E17" s="159"/>
      <c r="F17" s="160"/>
      <c r="G17" s="304"/>
      <c r="H17" s="311"/>
    </row>
    <row r="18" spans="2:8" x14ac:dyDescent="0.2">
      <c r="B18" s="15" t="s">
        <v>177</v>
      </c>
      <c r="C18" s="153" t="s">
        <v>29</v>
      </c>
      <c r="D18" s="154" t="s">
        <v>27</v>
      </c>
      <c r="E18" s="180">
        <f>Geologia!E41</f>
        <v>160</v>
      </c>
      <c r="F18" s="155"/>
      <c r="G18" s="302"/>
      <c r="H18" s="311"/>
    </row>
    <row r="19" spans="2:8" x14ac:dyDescent="0.2">
      <c r="B19" s="13" t="s">
        <v>178</v>
      </c>
      <c r="C19" s="156" t="s">
        <v>30</v>
      </c>
      <c r="D19" s="154" t="s">
        <v>27</v>
      </c>
      <c r="E19" s="181">
        <f>Geologia!E45</f>
        <v>35</v>
      </c>
      <c r="F19" s="158"/>
      <c r="G19" s="303"/>
      <c r="H19" s="311"/>
    </row>
    <row r="20" spans="2:8" x14ac:dyDescent="0.2">
      <c r="B20" s="12"/>
      <c r="C20" s="135" t="s">
        <v>22</v>
      </c>
      <c r="D20" s="150"/>
      <c r="E20" s="159"/>
      <c r="F20" s="160"/>
      <c r="G20" s="304"/>
      <c r="H20" s="310"/>
    </row>
    <row r="21" spans="2:8" x14ac:dyDescent="0.2">
      <c r="B21" s="15" t="s">
        <v>179</v>
      </c>
      <c r="C21" s="153" t="s">
        <v>29</v>
      </c>
      <c r="D21" s="154" t="s">
        <v>27</v>
      </c>
      <c r="E21" s="180">
        <f>Geologia!E42</f>
        <v>320</v>
      </c>
      <c r="F21" s="155"/>
      <c r="G21" s="302"/>
      <c r="H21" s="310"/>
    </row>
    <row r="22" spans="2:8" x14ac:dyDescent="0.2">
      <c r="B22" s="13" t="s">
        <v>180</v>
      </c>
      <c r="C22" s="161" t="s">
        <v>30</v>
      </c>
      <c r="D22" s="157" t="s">
        <v>27</v>
      </c>
      <c r="E22" s="158">
        <f>Geologia!E46</f>
        <v>135</v>
      </c>
      <c r="F22" s="158"/>
      <c r="G22" s="303"/>
      <c r="H22" s="310"/>
    </row>
    <row r="23" spans="2:8" x14ac:dyDescent="0.2">
      <c r="B23" s="16"/>
      <c r="C23" s="144" t="s">
        <v>23</v>
      </c>
      <c r="D23" s="162"/>
      <c r="E23" s="163"/>
      <c r="F23" s="163"/>
      <c r="G23" s="305"/>
      <c r="H23" s="310"/>
    </row>
    <row r="24" spans="2:8" x14ac:dyDescent="0.2">
      <c r="B24" s="36" t="s">
        <v>181</v>
      </c>
      <c r="C24" s="164" t="s">
        <v>24</v>
      </c>
      <c r="D24" s="154" t="s">
        <v>27</v>
      </c>
      <c r="E24" s="182">
        <f>Geologia!E58</f>
        <v>300</v>
      </c>
      <c r="F24" s="37"/>
      <c r="G24" s="302"/>
      <c r="H24" s="310"/>
    </row>
    <row r="25" spans="2:8" x14ac:dyDescent="0.2">
      <c r="B25" s="36" t="s">
        <v>182</v>
      </c>
      <c r="C25" s="164" t="s">
        <v>25</v>
      </c>
      <c r="D25" s="154" t="s">
        <v>27</v>
      </c>
      <c r="E25" s="182">
        <f>Geologia!E59</f>
        <v>140</v>
      </c>
      <c r="F25" s="38"/>
      <c r="G25" s="302"/>
      <c r="H25" s="310"/>
    </row>
    <row r="26" spans="2:8" x14ac:dyDescent="0.2">
      <c r="B26" s="36" t="s">
        <v>183</v>
      </c>
      <c r="C26" s="183" t="s">
        <v>127</v>
      </c>
      <c r="D26" s="157" t="s">
        <v>27</v>
      </c>
      <c r="E26" s="182">
        <f>Geologia!E60</f>
        <v>50</v>
      </c>
      <c r="F26" s="124"/>
      <c r="G26" s="302"/>
      <c r="H26" s="310"/>
    </row>
    <row r="27" spans="2:8" ht="28.5" customHeight="1" x14ac:dyDescent="0.2">
      <c r="B27" s="139" t="s">
        <v>184</v>
      </c>
      <c r="C27" s="140" t="s">
        <v>173</v>
      </c>
      <c r="D27" s="11" t="s">
        <v>1</v>
      </c>
      <c r="E27" s="137"/>
      <c r="F27" s="141"/>
      <c r="G27" s="249"/>
      <c r="H27" s="312" t="s">
        <v>199</v>
      </c>
    </row>
    <row r="28" spans="2:8" ht="36" customHeight="1" x14ac:dyDescent="0.2">
      <c r="B28" s="139" t="s">
        <v>185</v>
      </c>
      <c r="C28" s="165" t="s">
        <v>75</v>
      </c>
      <c r="D28" s="11" t="s">
        <v>1</v>
      </c>
      <c r="E28" s="137"/>
      <c r="F28" s="166"/>
      <c r="G28" s="250"/>
      <c r="H28" s="309" t="s">
        <v>198</v>
      </c>
    </row>
    <row r="29" spans="2:8" ht="24.75" customHeight="1" thickBot="1" x14ac:dyDescent="0.25">
      <c r="B29" s="204"/>
      <c r="C29" s="247" t="s">
        <v>150</v>
      </c>
      <c r="D29" s="205"/>
      <c r="E29" s="206"/>
      <c r="F29" s="207"/>
      <c r="G29" s="306"/>
      <c r="H29" s="313"/>
    </row>
    <row r="30" spans="2:8" ht="7.15" customHeight="1" thickBot="1" x14ac:dyDescent="0.25">
      <c r="B30" s="143"/>
      <c r="C30" s="167"/>
      <c r="D30" s="10"/>
      <c r="E30" s="10"/>
      <c r="F30" s="10"/>
      <c r="G30" s="185"/>
      <c r="H30" s="185"/>
    </row>
    <row r="31" spans="2:8" ht="24" customHeight="1" thickBot="1" x14ac:dyDescent="0.25">
      <c r="B31" s="142"/>
      <c r="C31" s="168"/>
      <c r="D31" s="169"/>
      <c r="E31" s="170"/>
      <c r="F31" s="17" t="s">
        <v>9</v>
      </c>
      <c r="G31" s="44"/>
      <c r="H31" s="184"/>
    </row>
    <row r="32" spans="2:8" ht="24" customHeight="1" thickBot="1" x14ac:dyDescent="0.25">
      <c r="B32" s="142"/>
      <c r="C32" s="168"/>
      <c r="D32" s="170"/>
      <c r="E32" s="170"/>
      <c r="F32" s="17" t="s">
        <v>10</v>
      </c>
      <c r="G32" s="44"/>
      <c r="H32" s="184"/>
    </row>
    <row r="33" spans="2:8" ht="24" customHeight="1" thickBot="1" x14ac:dyDescent="0.25">
      <c r="B33" s="171"/>
      <c r="C33" s="172"/>
      <c r="D33" s="170"/>
      <c r="E33" s="170"/>
      <c r="F33" s="17" t="s">
        <v>11</v>
      </c>
      <c r="G33" s="44"/>
    </row>
    <row r="37" spans="2:8" ht="15" customHeight="1" x14ac:dyDescent="0.2">
      <c r="D37" s="325" t="s">
        <v>12</v>
      </c>
      <c r="E37" s="325"/>
      <c r="F37" s="325"/>
      <c r="G37" s="325"/>
      <c r="H37" s="186"/>
    </row>
    <row r="38" spans="2:8" ht="19.5" customHeight="1" x14ac:dyDescent="0.2">
      <c r="D38" s="325"/>
      <c r="E38" s="325"/>
      <c r="F38" s="325"/>
      <c r="G38" s="325"/>
      <c r="H38" s="186"/>
    </row>
    <row r="39" spans="2:8" ht="15" customHeight="1" x14ac:dyDescent="0.2">
      <c r="D39" s="325" t="s">
        <v>13</v>
      </c>
      <c r="E39" s="325"/>
      <c r="F39" s="325"/>
      <c r="G39" s="325"/>
      <c r="H39" s="186"/>
    </row>
  </sheetData>
  <mergeCells count="5">
    <mergeCell ref="B1:H1"/>
    <mergeCell ref="D39:G39"/>
    <mergeCell ref="B2:G2"/>
    <mergeCell ref="D3:E3"/>
    <mergeCell ref="D37:G38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R71"/>
  <sheetViews>
    <sheetView topLeftCell="A43" workbookViewId="0">
      <selection activeCell="H57" sqref="H57"/>
    </sheetView>
  </sheetViews>
  <sheetFormatPr defaultRowHeight="15" x14ac:dyDescent="0.25"/>
  <cols>
    <col min="1" max="1" width="3.42578125" bestFit="1" customWidth="1"/>
    <col min="2" max="2" width="38.7109375" style="72" customWidth="1"/>
    <col min="3" max="3" width="5.5703125" style="72" bestFit="1" customWidth="1"/>
    <col min="4" max="4" width="6.85546875" style="72" bestFit="1" customWidth="1"/>
    <col min="5" max="5" width="6.85546875" style="72" customWidth="1"/>
    <col min="6" max="6" width="6.140625" style="72" customWidth="1"/>
    <col min="7" max="7" width="11.7109375" style="72" customWidth="1"/>
    <col min="8" max="8" width="18.140625" style="72" bestFit="1" customWidth="1"/>
    <col min="9" max="9" width="11.7109375" style="72" bestFit="1" customWidth="1"/>
    <col min="10" max="10" width="9.140625" style="72"/>
    <col min="11" max="11" width="7.28515625" style="72" bestFit="1" customWidth="1"/>
    <col min="12" max="12" width="9.5703125" style="72" customWidth="1"/>
    <col min="13" max="14" width="9.140625" style="72"/>
    <col min="15" max="15" width="11.85546875" style="72" bestFit="1" customWidth="1"/>
    <col min="16" max="16" width="11.7109375" style="72" customWidth="1"/>
    <col min="17" max="17" width="11.7109375" style="72" bestFit="1" customWidth="1"/>
    <col min="18" max="18" width="10.28515625" style="72" bestFit="1" customWidth="1"/>
  </cols>
  <sheetData>
    <row r="1" spans="2:18" ht="15.75" x14ac:dyDescent="0.25">
      <c r="B1" s="79" t="s">
        <v>77</v>
      </c>
      <c r="G1" s="73" t="s">
        <v>80</v>
      </c>
    </row>
    <row r="2" spans="2:18" x14ac:dyDescent="0.25">
      <c r="G2" s="80" t="s">
        <v>81</v>
      </c>
    </row>
    <row r="3" spans="2:18" x14ac:dyDescent="0.25">
      <c r="B3" s="81" t="s">
        <v>56</v>
      </c>
      <c r="G3" s="72" t="s">
        <v>83</v>
      </c>
    </row>
    <row r="4" spans="2:18" x14ac:dyDescent="0.25">
      <c r="B4" s="128" t="s">
        <v>125</v>
      </c>
      <c r="C4" s="73">
        <v>1</v>
      </c>
      <c r="G4" s="76" t="s">
        <v>82</v>
      </c>
    </row>
    <row r="5" spans="2:18" x14ac:dyDescent="0.25">
      <c r="B5" s="72" t="s">
        <v>57</v>
      </c>
      <c r="C5" s="73">
        <v>5.0999999999999996</v>
      </c>
      <c r="D5" s="72" t="s">
        <v>4</v>
      </c>
    </row>
    <row r="7" spans="2:18" ht="15.75" thickBot="1" x14ac:dyDescent="0.3">
      <c r="B7" s="81" t="s">
        <v>31</v>
      </c>
    </row>
    <row r="8" spans="2:18" ht="30" x14ac:dyDescent="0.25">
      <c r="B8" s="82" t="s">
        <v>32</v>
      </c>
      <c r="C8" s="70">
        <v>4</v>
      </c>
      <c r="D8" s="41" t="s">
        <v>27</v>
      </c>
      <c r="H8" s="83"/>
      <c r="I8" s="19"/>
      <c r="J8" s="83"/>
    </row>
    <row r="9" spans="2:18" x14ac:dyDescent="0.25">
      <c r="B9" s="321" t="s">
        <v>33</v>
      </c>
      <c r="C9" s="322">
        <v>25</v>
      </c>
      <c r="D9" s="323" t="s">
        <v>27</v>
      </c>
    </row>
    <row r="10" spans="2:18" ht="15.75" thickBot="1" x14ac:dyDescent="0.3">
      <c r="B10" s="118" t="s">
        <v>195</v>
      </c>
      <c r="C10" s="119">
        <v>10</v>
      </c>
      <c r="D10" s="120" t="s">
        <v>27</v>
      </c>
    </row>
    <row r="11" spans="2:18" x14ac:dyDescent="0.25">
      <c r="B11" s="93" t="s">
        <v>17</v>
      </c>
      <c r="C11" s="49"/>
      <c r="D11" s="49"/>
      <c r="E11" s="74"/>
      <c r="F11" s="74"/>
      <c r="G11" s="74"/>
      <c r="H11" s="84"/>
      <c r="I11" s="84" t="s">
        <v>34</v>
      </c>
      <c r="J11" s="74"/>
      <c r="K11" s="74"/>
      <c r="L11" s="74"/>
      <c r="M11" s="74"/>
      <c r="N11" s="85"/>
      <c r="O11" s="83"/>
      <c r="P11" s="83"/>
      <c r="Q11" s="83"/>
      <c r="R11" s="83" t="s">
        <v>35</v>
      </c>
    </row>
    <row r="12" spans="2:18" ht="48" x14ac:dyDescent="0.25">
      <c r="B12" s="87"/>
      <c r="E12" s="33" t="s">
        <v>38</v>
      </c>
      <c r="F12" s="49"/>
      <c r="G12" s="49"/>
      <c r="H12" s="201" t="s">
        <v>140</v>
      </c>
      <c r="I12" s="94" t="s">
        <v>39</v>
      </c>
      <c r="J12" s="33" t="s">
        <v>122</v>
      </c>
      <c r="K12" s="33" t="s">
        <v>123</v>
      </c>
      <c r="L12" s="33" t="s">
        <v>124</v>
      </c>
      <c r="M12" s="33" t="s">
        <v>40</v>
      </c>
      <c r="N12" s="50"/>
      <c r="R12" s="22"/>
    </row>
    <row r="13" spans="2:18" x14ac:dyDescent="0.25">
      <c r="B13" s="86" t="s">
        <v>41</v>
      </c>
      <c r="C13" s="71">
        <v>2</v>
      </c>
      <c r="D13" s="21" t="s">
        <v>36</v>
      </c>
      <c r="E13" s="49"/>
      <c r="F13" s="49"/>
      <c r="G13" s="49"/>
      <c r="H13" s="201" t="s">
        <v>37</v>
      </c>
      <c r="I13" s="49"/>
      <c r="J13" s="49"/>
      <c r="K13" s="49"/>
      <c r="L13" s="49"/>
      <c r="M13" s="49">
        <v>1.1000000000000001</v>
      </c>
      <c r="N13" s="50"/>
    </row>
    <row r="14" spans="2:18" x14ac:dyDescent="0.25">
      <c r="B14" s="87" t="s">
        <v>42</v>
      </c>
      <c r="C14" s="76">
        <v>100</v>
      </c>
      <c r="D14" s="19" t="s">
        <v>27</v>
      </c>
      <c r="E14" s="173">
        <v>0.6</v>
      </c>
      <c r="F14" s="49"/>
      <c r="G14" s="49"/>
      <c r="H14" s="88"/>
      <c r="I14" s="95">
        <f>$C$5*E14</f>
        <v>3.0599999999999996</v>
      </c>
      <c r="J14" s="49">
        <f>ROUND(I14*1000/C14,0)</f>
        <v>31</v>
      </c>
      <c r="K14" s="49">
        <f>J14*$C$13</f>
        <v>62</v>
      </c>
      <c r="L14" s="49">
        <f>K14*$C$8</f>
        <v>248</v>
      </c>
      <c r="M14" s="49">
        <f>L14*$M$13</f>
        <v>272.8</v>
      </c>
      <c r="N14" s="50"/>
    </row>
    <row r="15" spans="2:18" ht="15.75" thickBot="1" x14ac:dyDescent="0.3">
      <c r="B15" s="87" t="s">
        <v>43</v>
      </c>
      <c r="C15" s="76">
        <v>50</v>
      </c>
      <c r="D15" s="19" t="s">
        <v>27</v>
      </c>
      <c r="E15" s="173">
        <f>1-E14</f>
        <v>0.4</v>
      </c>
      <c r="F15" s="49"/>
      <c r="G15" s="49"/>
      <c r="H15" s="88"/>
      <c r="I15" s="95">
        <f>$C$5*E15</f>
        <v>2.04</v>
      </c>
      <c r="J15" s="49">
        <f>ROUND(I15*1000/C15,0)</f>
        <v>41</v>
      </c>
      <c r="K15" s="49">
        <f>J15*$C$13</f>
        <v>82</v>
      </c>
      <c r="L15" s="49">
        <f>K15*$C$8</f>
        <v>328</v>
      </c>
      <c r="M15" s="49">
        <f>L15*$M$13</f>
        <v>360.8</v>
      </c>
      <c r="N15" s="50"/>
    </row>
    <row r="16" spans="2:18" x14ac:dyDescent="0.25">
      <c r="B16" s="255" t="s">
        <v>132</v>
      </c>
      <c r="C16" s="256">
        <v>5</v>
      </c>
      <c r="D16" s="257" t="s">
        <v>27</v>
      </c>
      <c r="E16" s="258"/>
      <c r="F16" s="258"/>
      <c r="G16" s="258"/>
      <c r="H16" s="259"/>
      <c r="I16" s="260"/>
      <c r="J16" s="259"/>
      <c r="K16" s="259"/>
      <c r="L16" s="259"/>
      <c r="N16" s="50"/>
    </row>
    <row r="17" spans="2:16" x14ac:dyDescent="0.25">
      <c r="B17" s="261" t="s">
        <v>133</v>
      </c>
      <c r="C17" s="262">
        <v>2</v>
      </c>
      <c r="D17" s="263" t="s">
        <v>36</v>
      </c>
      <c r="E17" s="258"/>
      <c r="F17" s="258"/>
      <c r="G17" s="258"/>
      <c r="H17" s="264"/>
      <c r="I17" s="258"/>
      <c r="J17" s="259"/>
      <c r="K17" s="259"/>
      <c r="L17" s="259"/>
      <c r="N17" s="50"/>
    </row>
    <row r="18" spans="2:16" x14ac:dyDescent="0.25">
      <c r="B18" s="265" t="s">
        <v>134</v>
      </c>
      <c r="C18" s="262">
        <v>100</v>
      </c>
      <c r="D18" s="263" t="s">
        <v>27</v>
      </c>
      <c r="E18" s="258"/>
      <c r="F18" s="258"/>
      <c r="G18" s="258"/>
      <c r="H18" s="266" t="s">
        <v>135</v>
      </c>
      <c r="I18" s="259">
        <v>0</v>
      </c>
      <c r="J18" s="258">
        <f>ROUND(I18*1000/C18,0)</f>
        <v>0</v>
      </c>
      <c r="K18" s="258">
        <f>J18*C17</f>
        <v>0</v>
      </c>
      <c r="L18" s="258">
        <f>K18*C16</f>
        <v>0</v>
      </c>
      <c r="M18" s="49">
        <f>L18*$M$13</f>
        <v>0</v>
      </c>
      <c r="N18" s="50"/>
    </row>
    <row r="19" spans="2:16" ht="15.75" thickBot="1" x14ac:dyDescent="0.3">
      <c r="B19" s="96"/>
      <c r="C19" s="78"/>
      <c r="D19" s="28"/>
      <c r="E19" s="75"/>
      <c r="F19" s="75"/>
      <c r="G19" s="75"/>
      <c r="H19" s="100"/>
      <c r="I19" s="75"/>
      <c r="J19" s="75"/>
      <c r="K19" s="75"/>
      <c r="L19" s="75"/>
      <c r="M19" s="195">
        <f>ROUND(SUM(M14:M18),0)</f>
        <v>634</v>
      </c>
      <c r="N19" s="92"/>
    </row>
    <row r="20" spans="2:16" ht="24" x14ac:dyDescent="0.25">
      <c r="B20" s="99"/>
      <c r="C20" s="77"/>
      <c r="D20" s="25"/>
      <c r="E20" s="74"/>
      <c r="F20" s="74"/>
      <c r="G20" s="74"/>
      <c r="H20" s="202" t="s">
        <v>139</v>
      </c>
      <c r="I20" s="117" t="s">
        <v>44</v>
      </c>
      <c r="J20" s="117" t="s">
        <v>45</v>
      </c>
      <c r="K20" s="74"/>
      <c r="L20" s="74"/>
      <c r="M20" s="74"/>
      <c r="N20" s="85"/>
    </row>
    <row r="21" spans="2:16" x14ac:dyDescent="0.25">
      <c r="B21" s="97" t="s">
        <v>46</v>
      </c>
      <c r="C21" s="71">
        <v>2</v>
      </c>
      <c r="D21" s="29" t="s">
        <v>36</v>
      </c>
      <c r="E21" s="49"/>
      <c r="F21" s="49"/>
      <c r="G21" s="49"/>
      <c r="H21" s="88"/>
      <c r="I21" s="193">
        <v>2</v>
      </c>
      <c r="J21" s="191">
        <f>I21*C21</f>
        <v>4</v>
      </c>
      <c r="K21" s="49">
        <f>J21*C22</f>
        <v>12</v>
      </c>
      <c r="L21" s="89">
        <f>K21*$C$9</f>
        <v>300</v>
      </c>
      <c r="M21" s="49"/>
      <c r="N21" s="50"/>
      <c r="P21" s="72" t="s">
        <v>163</v>
      </c>
    </row>
    <row r="22" spans="2:16" x14ac:dyDescent="0.25">
      <c r="B22" s="97" t="s">
        <v>47</v>
      </c>
      <c r="C22" s="76">
        <v>3</v>
      </c>
      <c r="D22" s="29" t="s">
        <v>36</v>
      </c>
      <c r="E22" s="49"/>
      <c r="F22" s="49"/>
      <c r="G22" s="49"/>
      <c r="M22" s="49"/>
      <c r="N22" s="50"/>
    </row>
    <row r="23" spans="2:16" ht="15.75" thickBot="1" x14ac:dyDescent="0.3">
      <c r="B23" s="98"/>
      <c r="C23" s="192"/>
      <c r="D23" s="30"/>
      <c r="E23" s="75"/>
      <c r="F23" s="75"/>
      <c r="G23" s="75"/>
      <c r="H23" s="100"/>
      <c r="I23" s="75"/>
      <c r="J23" s="197"/>
      <c r="K23" s="197"/>
      <c r="L23" s="197"/>
      <c r="M23" s="197"/>
      <c r="N23" s="92"/>
    </row>
    <row r="24" spans="2:16" ht="24" x14ac:dyDescent="0.25">
      <c r="B24" s="97"/>
      <c r="C24" s="196"/>
      <c r="D24" s="29"/>
      <c r="E24" s="49"/>
      <c r="F24" s="49"/>
      <c r="G24" s="49"/>
      <c r="H24" s="201" t="s">
        <v>141</v>
      </c>
      <c r="I24" s="117" t="s">
        <v>142</v>
      </c>
      <c r="J24" s="33"/>
      <c r="K24" s="33"/>
      <c r="L24" s="33"/>
      <c r="M24" s="33"/>
      <c r="N24" s="50"/>
    </row>
    <row r="25" spans="2:16" x14ac:dyDescent="0.25">
      <c r="B25" s="97" t="s">
        <v>148</v>
      </c>
      <c r="C25" s="76">
        <v>5</v>
      </c>
      <c r="D25" s="29" t="s">
        <v>27</v>
      </c>
      <c r="E25" s="49"/>
      <c r="F25" s="49"/>
      <c r="G25" s="49"/>
      <c r="H25" s="201"/>
      <c r="I25" s="33"/>
      <c r="J25" s="33"/>
      <c r="K25" s="33"/>
      <c r="L25" s="33"/>
      <c r="M25" s="33"/>
      <c r="N25" s="50"/>
    </row>
    <row r="26" spans="2:16" ht="15.75" thickBot="1" x14ac:dyDescent="0.3">
      <c r="B26" s="98" t="s">
        <v>143</v>
      </c>
      <c r="C26" s="76">
        <v>3</v>
      </c>
      <c r="D26" s="30" t="s">
        <v>36</v>
      </c>
      <c r="E26" s="75"/>
      <c r="F26" s="75"/>
      <c r="G26" s="75"/>
      <c r="H26" s="100"/>
      <c r="I26" s="203">
        <v>2</v>
      </c>
      <c r="J26" s="197"/>
      <c r="K26" s="49">
        <f>I26*C26</f>
        <v>6</v>
      </c>
      <c r="L26" s="89">
        <f>ROUND(K26*C25,0)</f>
        <v>30</v>
      </c>
      <c r="M26" s="197"/>
      <c r="N26" s="92"/>
      <c r="P26" s="72" t="s">
        <v>164</v>
      </c>
    </row>
    <row r="27" spans="2:16" ht="24" x14ac:dyDescent="0.25">
      <c r="B27" s="267"/>
      <c r="C27" s="268"/>
      <c r="D27" s="269"/>
      <c r="E27" s="270"/>
      <c r="F27" s="270"/>
      <c r="G27" s="270"/>
      <c r="H27" s="266" t="s">
        <v>144</v>
      </c>
      <c r="I27" s="271" t="s">
        <v>145</v>
      </c>
      <c r="J27" s="271"/>
      <c r="K27" s="271"/>
      <c r="L27" s="271"/>
      <c r="M27" s="117"/>
      <c r="N27" s="85"/>
    </row>
    <row r="28" spans="2:16" x14ac:dyDescent="0.25">
      <c r="B28" s="261" t="s">
        <v>146</v>
      </c>
      <c r="C28" s="272">
        <v>8</v>
      </c>
      <c r="D28" s="273" t="s">
        <v>27</v>
      </c>
      <c r="E28" s="258"/>
      <c r="F28" s="258"/>
      <c r="G28" s="258"/>
      <c r="H28" s="266"/>
      <c r="I28" s="274"/>
      <c r="J28" s="274"/>
      <c r="K28" s="274"/>
      <c r="L28" s="274"/>
      <c r="M28" s="33"/>
      <c r="N28" s="50"/>
    </row>
    <row r="29" spans="2:16" ht="15.75" thickBot="1" x14ac:dyDescent="0.3">
      <c r="B29" s="275" t="s">
        <v>147</v>
      </c>
      <c r="C29" s="272">
        <v>3</v>
      </c>
      <c r="D29" s="276" t="s">
        <v>36</v>
      </c>
      <c r="E29" s="258"/>
      <c r="F29" s="258"/>
      <c r="G29" s="258"/>
      <c r="H29" s="264"/>
      <c r="I29" s="277">
        <v>0</v>
      </c>
      <c r="J29" s="274"/>
      <c r="K29" s="258">
        <f>I29*C29</f>
        <v>0</v>
      </c>
      <c r="L29" s="278">
        <f>ROUND(K29*C28,0)</f>
        <v>0</v>
      </c>
      <c r="M29" s="33"/>
      <c r="N29" s="50"/>
      <c r="P29" s="72" t="s">
        <v>165</v>
      </c>
    </row>
    <row r="30" spans="2:16" ht="48" x14ac:dyDescent="0.25">
      <c r="B30" s="198"/>
      <c r="C30" s="199"/>
      <c r="D30" s="200"/>
      <c r="E30" s="74"/>
      <c r="F30" s="74"/>
      <c r="G30" s="74"/>
      <c r="H30" s="202" t="s">
        <v>48</v>
      </c>
      <c r="I30" s="74"/>
      <c r="J30" s="117" t="s">
        <v>122</v>
      </c>
      <c r="K30" s="117" t="s">
        <v>123</v>
      </c>
      <c r="L30" s="117" t="s">
        <v>124</v>
      </c>
      <c r="M30" s="117" t="s">
        <v>130</v>
      </c>
      <c r="N30" s="85">
        <v>1.1000000000000001</v>
      </c>
    </row>
    <row r="31" spans="2:16" x14ac:dyDescent="0.25">
      <c r="B31" s="87" t="s">
        <v>49</v>
      </c>
      <c r="C31" s="71">
        <v>1</v>
      </c>
      <c r="D31" s="21" t="s">
        <v>36</v>
      </c>
      <c r="E31" s="49"/>
      <c r="F31" s="49"/>
      <c r="G31" s="49"/>
      <c r="H31" s="88" t="s">
        <v>50</v>
      </c>
      <c r="I31" s="49"/>
      <c r="J31" s="49">
        <f>J14+J15</f>
        <v>72</v>
      </c>
      <c r="K31" s="49">
        <f>J31*C31</f>
        <v>72</v>
      </c>
      <c r="L31" s="49">
        <f>ROUND(K31*$C$8,0)</f>
        <v>288</v>
      </c>
      <c r="M31" s="49">
        <f>ROUND(L31*$N$30,0)</f>
        <v>317</v>
      </c>
      <c r="N31" s="50"/>
    </row>
    <row r="32" spans="2:16" x14ac:dyDescent="0.25">
      <c r="B32" s="87" t="s">
        <v>160</v>
      </c>
      <c r="C32" s="71">
        <v>1</v>
      </c>
      <c r="D32" s="21" t="s">
        <v>36</v>
      </c>
      <c r="E32" s="49"/>
      <c r="F32" s="49"/>
      <c r="G32" s="49"/>
      <c r="H32" s="88" t="s">
        <v>51</v>
      </c>
      <c r="I32" s="49"/>
      <c r="J32" s="49">
        <f>J18</f>
        <v>0</v>
      </c>
      <c r="K32" s="49">
        <f>J32*C32</f>
        <v>0</v>
      </c>
      <c r="L32" s="49">
        <f>ROUND(K32*$C$8,0)</f>
        <v>0</v>
      </c>
      <c r="M32" s="49">
        <f>ROUND(L32*$N$30,0)</f>
        <v>0</v>
      </c>
      <c r="N32" s="50"/>
    </row>
    <row r="33" spans="2:14" x14ac:dyDescent="0.25">
      <c r="B33" s="97" t="s">
        <v>52</v>
      </c>
      <c r="C33" s="71">
        <v>1</v>
      </c>
      <c r="D33" s="29" t="s">
        <v>36</v>
      </c>
      <c r="E33" s="49"/>
      <c r="F33" s="49"/>
      <c r="G33" s="49"/>
      <c r="H33" s="88" t="s">
        <v>53</v>
      </c>
      <c r="I33" s="49"/>
      <c r="J33" s="49">
        <f>J21</f>
        <v>4</v>
      </c>
      <c r="K33" s="49">
        <f>J33*C33</f>
        <v>4</v>
      </c>
      <c r="L33" s="49">
        <f>ROUND(K33*$C$9,0)</f>
        <v>100</v>
      </c>
      <c r="M33" s="49">
        <f>ROUND(L33*$N$30,0)</f>
        <v>110</v>
      </c>
      <c r="N33" s="50"/>
    </row>
    <row r="34" spans="2:14" ht="15.75" thickBot="1" x14ac:dyDescent="0.3">
      <c r="B34" s="98" t="s">
        <v>194</v>
      </c>
      <c r="C34" s="78">
        <f>I26</f>
        <v>2</v>
      </c>
      <c r="D34" s="30" t="s">
        <v>36</v>
      </c>
      <c r="E34" s="75"/>
      <c r="F34" s="75"/>
      <c r="G34" s="75"/>
      <c r="H34" s="100" t="s">
        <v>193</v>
      </c>
      <c r="I34" s="75"/>
      <c r="J34" s="75">
        <v>2</v>
      </c>
      <c r="K34" s="75">
        <f>J34*C34</f>
        <v>4</v>
      </c>
      <c r="L34" s="75">
        <f>ROUND(K34*$C$10,0)</f>
        <v>40</v>
      </c>
      <c r="M34" s="75">
        <f>ROUND(L34*$N$30,0)</f>
        <v>44</v>
      </c>
      <c r="N34" s="92"/>
    </row>
    <row r="35" spans="2:14" x14ac:dyDescent="0.25">
      <c r="B35" s="99" t="s">
        <v>54</v>
      </c>
      <c r="C35" s="74"/>
      <c r="D35" s="74"/>
      <c r="E35" s="49"/>
      <c r="F35" s="49"/>
      <c r="G35" s="49"/>
      <c r="H35" s="88"/>
      <c r="I35" s="49" t="s">
        <v>4</v>
      </c>
      <c r="J35" s="49"/>
      <c r="K35" s="49"/>
      <c r="L35" s="49"/>
      <c r="M35" s="49"/>
      <c r="N35" s="50"/>
    </row>
    <row r="36" spans="2:14" ht="15.75" thickBot="1" x14ac:dyDescent="0.3">
      <c r="B36" s="96" t="s">
        <v>55</v>
      </c>
      <c r="C36" s="132">
        <v>1</v>
      </c>
      <c r="D36" s="75"/>
      <c r="E36" s="75"/>
      <c r="F36" s="75"/>
      <c r="G36" s="75"/>
      <c r="H36" s="100" t="s">
        <v>54</v>
      </c>
      <c r="I36" s="75">
        <f>C36*$C$5</f>
        <v>5.0999999999999996</v>
      </c>
      <c r="J36" s="75"/>
      <c r="K36" s="75"/>
      <c r="L36" s="75"/>
      <c r="M36" s="75"/>
      <c r="N36" s="92"/>
    </row>
    <row r="37" spans="2:14" ht="15.75" thickBot="1" x14ac:dyDescent="0.3">
      <c r="H37" s="83"/>
    </row>
    <row r="38" spans="2:14" ht="24" x14ac:dyDescent="0.25">
      <c r="B38" s="101" t="s">
        <v>65</v>
      </c>
      <c r="C38" s="121" t="s">
        <v>58</v>
      </c>
      <c r="D38" s="121"/>
      <c r="E38" s="122" t="s">
        <v>78</v>
      </c>
      <c r="F38" s="122" t="s">
        <v>66</v>
      </c>
      <c r="G38" s="123" t="s">
        <v>28</v>
      </c>
    </row>
    <row r="39" spans="2:14" ht="19.149999999999999" customHeight="1" x14ac:dyDescent="0.25">
      <c r="B39" s="87" t="s">
        <v>59</v>
      </c>
      <c r="C39" s="49"/>
      <c r="D39" s="49"/>
      <c r="E39" s="49"/>
      <c r="F39" s="49"/>
      <c r="G39" s="50"/>
    </row>
    <row r="40" spans="2:14" x14ac:dyDescent="0.25">
      <c r="B40" s="87" t="s">
        <v>60</v>
      </c>
      <c r="C40" s="174">
        <v>0.25</v>
      </c>
      <c r="D40" s="104">
        <f>ROUNDUP($M$19*C40,0)</f>
        <v>159</v>
      </c>
      <c r="E40" s="175">
        <v>160</v>
      </c>
      <c r="F40" s="102">
        <f>'Tabela Opracowania'!F15</f>
        <v>0</v>
      </c>
      <c r="G40" s="103">
        <f>F40*E40</f>
        <v>0</v>
      </c>
    </row>
    <row r="41" spans="2:14" x14ac:dyDescent="0.25">
      <c r="B41" s="87" t="s">
        <v>61</v>
      </c>
      <c r="C41" s="174">
        <v>0.25</v>
      </c>
      <c r="D41" s="104">
        <f>ROUNDUP($M$19*C41,0)</f>
        <v>159</v>
      </c>
      <c r="E41" s="175">
        <v>160</v>
      </c>
      <c r="F41" s="102">
        <f>'Tabela Opracowania'!F18</f>
        <v>0</v>
      </c>
      <c r="G41" s="103">
        <f t="shared" ref="G41:G42" si="0">F41*E41</f>
        <v>0</v>
      </c>
    </row>
    <row r="42" spans="2:14" x14ac:dyDescent="0.25">
      <c r="B42" s="87" t="s">
        <v>62</v>
      </c>
      <c r="C42" s="174">
        <f>1-C40-C41</f>
        <v>0.5</v>
      </c>
      <c r="D42" s="104">
        <f>ROUNDUP($M$19*C42,0)</f>
        <v>317</v>
      </c>
      <c r="E42" s="175">
        <v>320</v>
      </c>
      <c r="F42" s="102">
        <f>'Tabela Opracowania'!F21</f>
        <v>0</v>
      </c>
      <c r="G42" s="103">
        <f t="shared" si="0"/>
        <v>0</v>
      </c>
    </row>
    <row r="43" spans="2:14" x14ac:dyDescent="0.25">
      <c r="B43" s="87" t="s">
        <v>149</v>
      </c>
      <c r="C43" s="104"/>
      <c r="D43" s="104"/>
      <c r="E43" s="104"/>
      <c r="F43" s="102"/>
      <c r="G43" s="103"/>
    </row>
    <row r="44" spans="2:14" x14ac:dyDescent="0.25">
      <c r="B44" s="87" t="s">
        <v>60</v>
      </c>
      <c r="C44" s="174">
        <v>0.5</v>
      </c>
      <c r="D44" s="104">
        <f>ROUND(($L$21+$L$26+$L$29)*C44,0)</f>
        <v>165</v>
      </c>
      <c r="E44" s="175">
        <v>170</v>
      </c>
      <c r="F44" s="102">
        <f>'Tabela Opracowania'!F16</f>
        <v>0</v>
      </c>
      <c r="G44" s="103">
        <f>INT(F44*E44)</f>
        <v>0</v>
      </c>
    </row>
    <row r="45" spans="2:14" x14ac:dyDescent="0.25">
      <c r="B45" s="87" t="s">
        <v>61</v>
      </c>
      <c r="C45" s="174">
        <v>0.1</v>
      </c>
      <c r="D45" s="104">
        <f>ROUND(($L$21+$L$26+$L$29)*C45,0)</f>
        <v>33</v>
      </c>
      <c r="E45" s="175">
        <v>35</v>
      </c>
      <c r="F45" s="102">
        <f>'Tabela Opracowania'!F19</f>
        <v>0</v>
      </c>
      <c r="G45" s="103">
        <f>INT(F45*E45)</f>
        <v>0</v>
      </c>
    </row>
    <row r="46" spans="2:14" x14ac:dyDescent="0.25">
      <c r="B46" s="87" t="s">
        <v>62</v>
      </c>
      <c r="C46" s="174">
        <f>1-C44-C45</f>
        <v>0.4</v>
      </c>
      <c r="D46" s="104">
        <f>ROUND(($L$21+$L$26+$L$29)*C46,0)</f>
        <v>132</v>
      </c>
      <c r="E46" s="175">
        <v>135</v>
      </c>
      <c r="F46" s="102">
        <f>'Tabela Opracowania'!F22</f>
        <v>0</v>
      </c>
      <c r="G46" s="103">
        <f>INT(F46*E46)</f>
        <v>0</v>
      </c>
    </row>
    <row r="47" spans="2:14" ht="6.6" customHeight="1" x14ac:dyDescent="0.25">
      <c r="B47" s="87"/>
      <c r="C47" s="104"/>
      <c r="D47" s="104"/>
      <c r="E47" s="104"/>
      <c r="F47" s="104"/>
      <c r="G47" s="103"/>
    </row>
    <row r="48" spans="2:14" x14ac:dyDescent="0.25">
      <c r="B48" s="105" t="s">
        <v>79</v>
      </c>
      <c r="C48" s="106"/>
      <c r="D48" s="106"/>
      <c r="E48" s="106"/>
      <c r="F48" s="106"/>
      <c r="G48" s="107"/>
    </row>
    <row r="49" spans="2:9" x14ac:dyDescent="0.25">
      <c r="B49" s="108" t="s">
        <v>63</v>
      </c>
      <c r="C49" s="129"/>
      <c r="D49" s="129">
        <f>M31+M32+M34</f>
        <v>361</v>
      </c>
      <c r="E49" s="109"/>
      <c r="F49" s="109"/>
      <c r="G49" s="110"/>
    </row>
    <row r="50" spans="2:9" x14ac:dyDescent="0.25">
      <c r="B50" s="111" t="s">
        <v>69</v>
      </c>
      <c r="C50" s="176">
        <v>0.8</v>
      </c>
      <c r="D50" s="129">
        <f>$D$49*C50</f>
        <v>288.8</v>
      </c>
      <c r="E50" s="109"/>
      <c r="F50" s="109"/>
      <c r="G50" s="110"/>
    </row>
    <row r="51" spans="2:9" x14ac:dyDescent="0.25">
      <c r="B51" s="111" t="s">
        <v>70</v>
      </c>
      <c r="C51" s="176">
        <v>0.1</v>
      </c>
      <c r="D51" s="129">
        <f>$D$49*C51</f>
        <v>36.1</v>
      </c>
      <c r="E51" s="109"/>
      <c r="F51" s="109"/>
      <c r="G51" s="110"/>
    </row>
    <row r="52" spans="2:9" x14ac:dyDescent="0.25">
      <c r="B52" s="111" t="s">
        <v>126</v>
      </c>
      <c r="C52" s="176">
        <v>0.1</v>
      </c>
      <c r="D52" s="129">
        <f>$D$49*C52</f>
        <v>36.1</v>
      </c>
      <c r="E52" s="109"/>
      <c r="F52" s="109"/>
      <c r="G52" s="110"/>
    </row>
    <row r="53" spans="2:9" x14ac:dyDescent="0.25">
      <c r="B53" s="108" t="s">
        <v>64</v>
      </c>
      <c r="C53" s="129"/>
      <c r="D53" s="129">
        <f>M33</f>
        <v>110</v>
      </c>
      <c r="E53" s="109"/>
      <c r="F53" s="109"/>
      <c r="G53" s="110"/>
    </row>
    <row r="54" spans="2:9" x14ac:dyDescent="0.25">
      <c r="B54" s="111" t="s">
        <v>71</v>
      </c>
      <c r="C54" s="176">
        <v>0</v>
      </c>
      <c r="D54" s="129">
        <f>$D$53*C54</f>
        <v>0</v>
      </c>
      <c r="E54" s="109"/>
      <c r="F54" s="109"/>
      <c r="G54" s="110"/>
      <c r="H54" s="112"/>
    </row>
    <row r="55" spans="2:9" x14ac:dyDescent="0.25">
      <c r="B55" s="111" t="s">
        <v>72</v>
      </c>
      <c r="C55" s="176">
        <v>0.9</v>
      </c>
      <c r="D55" s="129">
        <f>$D$53*C55</f>
        <v>99</v>
      </c>
      <c r="E55" s="109"/>
      <c r="F55" s="109"/>
      <c r="G55" s="110"/>
      <c r="H55" s="112"/>
    </row>
    <row r="56" spans="2:9" ht="15.75" thickBot="1" x14ac:dyDescent="0.3">
      <c r="B56" s="111" t="s">
        <v>73</v>
      </c>
      <c r="C56" s="176">
        <f>1-C54-C55</f>
        <v>9.9999999999999978E-2</v>
      </c>
      <c r="D56" s="129">
        <f>$D$53*C56</f>
        <v>10.999999999999998</v>
      </c>
      <c r="E56" s="129"/>
      <c r="F56" s="129"/>
      <c r="G56" s="130"/>
    </row>
    <row r="57" spans="2:9" x14ac:dyDescent="0.25">
      <c r="B57" s="133" t="s">
        <v>74</v>
      </c>
      <c r="C57" s="177"/>
      <c r="D57" s="177">
        <f>D49+D53</f>
        <v>471</v>
      </c>
      <c r="E57" s="177"/>
      <c r="F57" s="125"/>
      <c r="G57" s="126"/>
    </row>
    <row r="58" spans="2:9" x14ac:dyDescent="0.25">
      <c r="B58" s="113" t="s">
        <v>24</v>
      </c>
      <c r="C58" s="104"/>
      <c r="D58" s="104">
        <f>D50+D54</f>
        <v>288.8</v>
      </c>
      <c r="E58" s="175">
        <v>300</v>
      </c>
      <c r="F58" s="114">
        <f>'Tabela Opracowania'!F24</f>
        <v>0</v>
      </c>
      <c r="G58" s="103">
        <f>INT(F58*E58)</f>
        <v>0</v>
      </c>
    </row>
    <row r="59" spans="2:9" x14ac:dyDescent="0.25">
      <c r="B59" s="113" t="s">
        <v>25</v>
      </c>
      <c r="C59" s="104"/>
      <c r="D59" s="104">
        <f>D51+D55</f>
        <v>135.1</v>
      </c>
      <c r="E59" s="175">
        <v>140</v>
      </c>
      <c r="F59" s="114">
        <f>'Tabela Opracowania'!F25</f>
        <v>0</v>
      </c>
      <c r="G59" s="103">
        <f>INT(F59*E59)</f>
        <v>0</v>
      </c>
    </row>
    <row r="60" spans="2:9" ht="15.75" thickBot="1" x14ac:dyDescent="0.3">
      <c r="B60" s="131" t="s">
        <v>26</v>
      </c>
      <c r="C60" s="115"/>
      <c r="D60" s="115">
        <f>D52+D56</f>
        <v>47.1</v>
      </c>
      <c r="E60" s="178">
        <v>50</v>
      </c>
      <c r="F60" s="132">
        <v>60</v>
      </c>
      <c r="G60" s="116">
        <f>INT(F60*E60)</f>
        <v>3000</v>
      </c>
      <c r="H60" s="112">
        <f>SUM(G40:G60)</f>
        <v>3000</v>
      </c>
    </row>
    <row r="61" spans="2:9" x14ac:dyDescent="0.25">
      <c r="I61" s="72" t="s">
        <v>17</v>
      </c>
    </row>
    <row r="62" spans="2:9" x14ac:dyDescent="0.25">
      <c r="H62" s="91">
        <f>SUM(H54:H60)</f>
        <v>3000</v>
      </c>
      <c r="I62" s="72" t="s">
        <v>68</v>
      </c>
    </row>
    <row r="63" spans="2:9" x14ac:dyDescent="0.25">
      <c r="H63" s="90">
        <v>0.1</v>
      </c>
      <c r="I63" s="72" t="s">
        <v>84</v>
      </c>
    </row>
    <row r="64" spans="2:9" x14ac:dyDescent="0.25">
      <c r="H64" s="91">
        <f>ROUND($H$62*H63,2)</f>
        <v>300</v>
      </c>
      <c r="I64" s="72" t="s">
        <v>87</v>
      </c>
    </row>
    <row r="65" spans="8:9" x14ac:dyDescent="0.25">
      <c r="H65" s="179">
        <v>10000</v>
      </c>
      <c r="I65" s="72" t="s">
        <v>89</v>
      </c>
    </row>
    <row r="67" spans="8:9" x14ac:dyDescent="0.25">
      <c r="H67" s="90">
        <v>0.25</v>
      </c>
      <c r="I67" s="72" t="s">
        <v>85</v>
      </c>
    </row>
    <row r="68" spans="8:9" x14ac:dyDescent="0.25">
      <c r="H68" s="91">
        <f>ROUND($H$62*H67,2)</f>
        <v>750</v>
      </c>
      <c r="I68" s="72" t="s">
        <v>86</v>
      </c>
    </row>
    <row r="69" spans="8:9" x14ac:dyDescent="0.25">
      <c r="H69" s="179">
        <v>25500</v>
      </c>
      <c r="I69" s="72" t="s">
        <v>88</v>
      </c>
    </row>
    <row r="71" spans="8:9" x14ac:dyDescent="0.25">
      <c r="H71" s="91">
        <f>H62+H64+H68</f>
        <v>4050</v>
      </c>
      <c r="I71" s="72" t="s">
        <v>90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5"/>
  <sheetViews>
    <sheetView topLeftCell="A22" zoomScale="85" zoomScaleNormal="85" workbookViewId="0">
      <selection activeCell="I21" sqref="I21"/>
    </sheetView>
  </sheetViews>
  <sheetFormatPr defaultRowHeight="15" x14ac:dyDescent="0.25"/>
  <cols>
    <col min="3" max="3" width="67.85546875" bestFit="1" customWidth="1"/>
    <col min="4" max="4" width="12.42578125" bestFit="1" customWidth="1"/>
    <col min="5" max="5" width="12.28515625" customWidth="1"/>
    <col min="6" max="6" width="13.5703125" bestFit="1" customWidth="1"/>
    <col min="7" max="7" width="9" customWidth="1"/>
    <col min="10" max="10" width="11.140625" bestFit="1" customWidth="1"/>
  </cols>
  <sheetData>
    <row r="1" spans="2:14" x14ac:dyDescent="0.25">
      <c r="C1" s="20"/>
    </row>
    <row r="2" spans="2:14" ht="15.75" thickBot="1" x14ac:dyDescent="0.3">
      <c r="C2" s="228" t="s">
        <v>17</v>
      </c>
      <c r="D2" s="18"/>
      <c r="E2" s="18"/>
      <c r="F2" s="188"/>
    </row>
    <row r="3" spans="2:14" x14ac:dyDescent="0.25">
      <c r="B3" s="31"/>
      <c r="C3" s="43"/>
      <c r="D3" s="24"/>
      <c r="E3" s="24" t="s">
        <v>91</v>
      </c>
      <c r="F3" s="24"/>
      <c r="G3" s="24"/>
      <c r="H3" s="24"/>
      <c r="I3" s="24"/>
      <c r="J3" s="24"/>
      <c r="K3" s="212"/>
      <c r="N3" s="40" t="s">
        <v>80</v>
      </c>
    </row>
    <row r="4" spans="2:14" ht="15.75" thickBot="1" x14ac:dyDescent="0.3">
      <c r="B4" s="210"/>
      <c r="C4" s="211" t="s">
        <v>2</v>
      </c>
      <c r="D4" s="66" t="s">
        <v>3</v>
      </c>
      <c r="E4" s="27">
        <v>94</v>
      </c>
      <c r="F4" s="67">
        <f>ROUND((Geologia!$C$5*1000*E4)/10000,0)</f>
        <v>48</v>
      </c>
      <c r="G4" s="248" t="s">
        <v>166</v>
      </c>
      <c r="H4" s="27"/>
      <c r="I4" s="27"/>
      <c r="J4" s="27"/>
      <c r="K4" s="35"/>
      <c r="N4" s="39" t="s">
        <v>81</v>
      </c>
    </row>
    <row r="5" spans="2:14" x14ac:dyDescent="0.25">
      <c r="B5" s="31"/>
      <c r="C5" s="46" t="s">
        <v>5</v>
      </c>
      <c r="D5" s="47" t="s">
        <v>1</v>
      </c>
      <c r="E5" s="24"/>
      <c r="F5" s="24"/>
      <c r="G5" s="24"/>
      <c r="H5" s="24"/>
      <c r="I5" s="24"/>
      <c r="J5" s="24"/>
      <c r="K5" s="32"/>
      <c r="N5" t="s">
        <v>83</v>
      </c>
    </row>
    <row r="6" spans="2:14" ht="39.75" customHeight="1" x14ac:dyDescent="0.25">
      <c r="B6" s="23"/>
      <c r="C6" s="330" t="s">
        <v>115</v>
      </c>
      <c r="D6" s="330"/>
      <c r="E6" s="330"/>
      <c r="F6" s="330"/>
      <c r="G6" s="330"/>
      <c r="H6" s="330"/>
      <c r="I6" s="330"/>
      <c r="J6" s="330"/>
      <c r="K6" s="331"/>
      <c r="N6" s="42" t="s">
        <v>121</v>
      </c>
    </row>
    <row r="7" spans="2:14" x14ac:dyDescent="0.25">
      <c r="B7" s="23"/>
      <c r="C7" s="48"/>
      <c r="D7" s="49"/>
      <c r="E7" s="21"/>
      <c r="F7" s="49"/>
      <c r="G7" s="49"/>
      <c r="H7" s="49"/>
      <c r="I7" s="49"/>
      <c r="J7" s="49"/>
      <c r="K7" s="50"/>
    </row>
    <row r="8" spans="2:14" ht="15.75" x14ac:dyDescent="0.25">
      <c r="B8" s="23"/>
      <c r="C8" s="51" t="s">
        <v>117</v>
      </c>
      <c r="D8" s="52"/>
      <c r="E8" s="21"/>
      <c r="F8" s="49"/>
      <c r="G8" s="49"/>
      <c r="H8" s="49"/>
      <c r="I8" s="49"/>
      <c r="J8" s="49"/>
      <c r="K8" s="50"/>
    </row>
    <row r="9" spans="2:14" x14ac:dyDescent="0.25">
      <c r="B9" s="23"/>
      <c r="C9" s="49"/>
      <c r="D9" s="20"/>
      <c r="E9" s="21"/>
      <c r="F9" s="49"/>
      <c r="G9" s="53"/>
      <c r="H9" s="49"/>
      <c r="I9" s="49"/>
      <c r="J9" s="49"/>
      <c r="K9" s="50"/>
    </row>
    <row r="10" spans="2:14" x14ac:dyDescent="0.25">
      <c r="B10" s="23"/>
      <c r="C10" s="49" t="s">
        <v>120</v>
      </c>
      <c r="D10" s="68"/>
      <c r="E10" s="49" t="s">
        <v>4</v>
      </c>
      <c r="F10" s="68">
        <v>5.0999999999999996</v>
      </c>
      <c r="G10" s="49" t="s">
        <v>4</v>
      </c>
      <c r="H10" s="49"/>
      <c r="I10" s="49"/>
      <c r="J10" s="49"/>
      <c r="K10" s="50"/>
    </row>
    <row r="11" spans="2:14" x14ac:dyDescent="0.25">
      <c r="B11" s="23"/>
      <c r="C11" s="49" t="s">
        <v>92</v>
      </c>
      <c r="D11" s="69" t="s">
        <v>136</v>
      </c>
      <c r="E11" s="49"/>
      <c r="F11" s="69" t="s">
        <v>93</v>
      </c>
      <c r="G11" s="49"/>
      <c r="H11" s="49"/>
      <c r="I11" s="49"/>
      <c r="J11" s="49"/>
      <c r="K11" s="50"/>
    </row>
    <row r="12" spans="2:14" x14ac:dyDescent="0.25">
      <c r="B12" s="23"/>
      <c r="C12" s="49" t="s">
        <v>94</v>
      </c>
      <c r="D12" s="69" t="s">
        <v>95</v>
      </c>
      <c r="E12" s="49"/>
      <c r="F12" s="69" t="s">
        <v>161</v>
      </c>
      <c r="G12" s="49"/>
      <c r="H12" s="49"/>
      <c r="I12" s="49"/>
      <c r="J12" s="49"/>
      <c r="K12" s="50"/>
    </row>
    <row r="13" spans="2:14" x14ac:dyDescent="0.25">
      <c r="B13" s="23"/>
      <c r="C13" s="49" t="s">
        <v>96</v>
      </c>
      <c r="D13" s="69" t="s">
        <v>97</v>
      </c>
      <c r="E13" s="49"/>
      <c r="F13" s="69" t="s">
        <v>162</v>
      </c>
      <c r="G13" s="49"/>
      <c r="H13" s="49"/>
      <c r="I13" s="49"/>
      <c r="J13" s="49"/>
      <c r="K13" s="50"/>
    </row>
    <row r="14" spans="2:14" x14ac:dyDescent="0.25">
      <c r="B14" s="23"/>
      <c r="C14" s="49" t="s">
        <v>151</v>
      </c>
      <c r="D14" s="68">
        <v>0</v>
      </c>
      <c r="E14" s="49"/>
      <c r="F14" s="68">
        <v>0</v>
      </c>
      <c r="G14" s="49" t="s">
        <v>152</v>
      </c>
      <c r="H14" s="49"/>
      <c r="I14" s="49"/>
      <c r="J14" s="49"/>
      <c r="K14" s="50"/>
    </row>
    <row r="15" spans="2:14" x14ac:dyDescent="0.25">
      <c r="B15" s="23"/>
      <c r="C15" s="49" t="s">
        <v>158</v>
      </c>
      <c r="D15" s="68">
        <v>0</v>
      </c>
      <c r="E15" s="49"/>
      <c r="F15" s="68">
        <v>0</v>
      </c>
      <c r="G15" s="49"/>
      <c r="H15" s="49"/>
      <c r="I15" s="49"/>
      <c r="J15" s="49"/>
      <c r="K15" s="50"/>
    </row>
    <row r="16" spans="2:14" x14ac:dyDescent="0.25">
      <c r="B16" s="23"/>
      <c r="C16" s="49" t="s">
        <v>98</v>
      </c>
      <c r="D16" s="49"/>
      <c r="E16" s="49"/>
      <c r="F16" s="20"/>
      <c r="G16" s="49"/>
      <c r="H16" s="49"/>
      <c r="I16" s="49"/>
      <c r="J16" s="49"/>
      <c r="K16" s="50"/>
    </row>
    <row r="17" spans="2:11" x14ac:dyDescent="0.25">
      <c r="B17" s="23"/>
      <c r="C17" s="49" t="s">
        <v>99</v>
      </c>
      <c r="D17" s="68">
        <v>0</v>
      </c>
      <c r="E17" s="49"/>
      <c r="F17" s="69">
        <v>0</v>
      </c>
      <c r="G17" s="49"/>
      <c r="H17" s="49"/>
      <c r="I17" s="49"/>
      <c r="J17" s="49"/>
      <c r="K17" s="50"/>
    </row>
    <row r="18" spans="2:11" x14ac:dyDescent="0.25">
      <c r="B18" s="23"/>
      <c r="C18" s="49" t="s">
        <v>100</v>
      </c>
      <c r="D18" s="68"/>
      <c r="E18" s="49"/>
      <c r="F18" s="69">
        <v>0</v>
      </c>
      <c r="G18" s="49"/>
      <c r="H18" s="49"/>
      <c r="I18" s="49"/>
      <c r="J18" s="49"/>
      <c r="K18" s="50"/>
    </row>
    <row r="19" spans="2:11" x14ac:dyDescent="0.25">
      <c r="B19" s="23"/>
      <c r="C19" s="48"/>
      <c r="D19" s="49"/>
      <c r="E19" s="21"/>
      <c r="F19" s="49"/>
      <c r="G19" s="49"/>
      <c r="H19" s="49"/>
      <c r="I19" s="49"/>
      <c r="J19" s="49"/>
      <c r="K19" s="50"/>
    </row>
    <row r="20" spans="2:11" ht="15.75" x14ac:dyDescent="0.25">
      <c r="B20" s="23"/>
      <c r="C20" s="51" t="s">
        <v>118</v>
      </c>
      <c r="D20" s="52"/>
      <c r="E20" s="21"/>
      <c r="F20" s="49"/>
      <c r="G20" s="49"/>
      <c r="H20" s="49"/>
      <c r="I20" s="49"/>
      <c r="J20" s="49"/>
      <c r="K20" s="50"/>
    </row>
    <row r="21" spans="2:11" x14ac:dyDescent="0.25">
      <c r="B21" s="23"/>
      <c r="C21" s="54" t="s">
        <v>129</v>
      </c>
      <c r="D21" s="20"/>
      <c r="E21" s="21"/>
      <c r="F21" s="49"/>
      <c r="G21" s="49"/>
      <c r="H21" s="49"/>
      <c r="I21" s="49"/>
      <c r="J21" s="49"/>
      <c r="K21" s="50"/>
    </row>
    <row r="22" spans="2:11" x14ac:dyDescent="0.25">
      <c r="B22" s="23"/>
      <c r="C22" s="49" t="s">
        <v>101</v>
      </c>
      <c r="D22" s="21"/>
      <c r="E22" s="49" t="s">
        <v>102</v>
      </c>
      <c r="F22" s="19">
        <v>700</v>
      </c>
      <c r="G22" s="49" t="s">
        <v>102</v>
      </c>
      <c r="H22" s="49"/>
      <c r="I22" s="49"/>
      <c r="J22" s="49"/>
      <c r="K22" s="50"/>
    </row>
    <row r="23" spans="2:11" x14ac:dyDescent="0.25">
      <c r="B23" s="23"/>
      <c r="C23" s="49" t="s">
        <v>103</v>
      </c>
      <c r="D23" s="21"/>
      <c r="E23" s="49" t="s">
        <v>102</v>
      </c>
      <c r="F23" s="19">
        <v>520</v>
      </c>
      <c r="G23" s="49" t="s">
        <v>102</v>
      </c>
      <c r="H23" s="49"/>
      <c r="I23" s="49"/>
      <c r="J23" s="49"/>
      <c r="K23" s="50"/>
    </row>
    <row r="24" spans="2:11" x14ac:dyDescent="0.25">
      <c r="B24" s="23"/>
      <c r="C24" s="49" t="s">
        <v>104</v>
      </c>
      <c r="D24" s="21"/>
      <c r="E24" s="49" t="s">
        <v>102</v>
      </c>
      <c r="F24" s="19">
        <v>60</v>
      </c>
      <c r="G24" s="49" t="s">
        <v>102</v>
      </c>
      <c r="H24" s="49"/>
      <c r="I24" s="49"/>
      <c r="J24" s="49"/>
      <c r="K24" s="50"/>
    </row>
    <row r="25" spans="2:11" x14ac:dyDescent="0.25">
      <c r="B25" s="23"/>
      <c r="C25" s="49"/>
      <c r="D25" s="21"/>
      <c r="E25" s="49"/>
      <c r="F25" s="65"/>
      <c r="G25" s="49"/>
      <c r="H25" s="49"/>
      <c r="I25" s="49"/>
      <c r="J25" s="49"/>
      <c r="K25" s="50"/>
    </row>
    <row r="26" spans="2:11" x14ac:dyDescent="0.25">
      <c r="B26" s="23"/>
      <c r="C26" s="49" t="s">
        <v>105</v>
      </c>
      <c r="D26" s="21"/>
      <c r="E26" s="49"/>
      <c r="F26" s="65"/>
      <c r="G26" s="49"/>
      <c r="H26" s="49"/>
      <c r="I26" s="49"/>
      <c r="J26" s="49"/>
      <c r="K26" s="50"/>
    </row>
    <row r="27" spans="2:11" x14ac:dyDescent="0.25">
      <c r="B27" s="23"/>
      <c r="C27" s="72" t="s">
        <v>189</v>
      </c>
      <c r="D27" s="21"/>
      <c r="E27" s="49"/>
      <c r="F27" s="251">
        <v>1.4</v>
      </c>
      <c r="G27" s="49"/>
      <c r="H27" s="49"/>
      <c r="I27" s="49"/>
      <c r="J27" s="49"/>
      <c r="K27" s="50"/>
    </row>
    <row r="28" spans="2:11" x14ac:dyDescent="0.25">
      <c r="B28" s="23"/>
      <c r="C28" s="49" t="s">
        <v>190</v>
      </c>
      <c r="D28" s="21"/>
      <c r="E28" s="49"/>
      <c r="F28" s="251">
        <v>0.3</v>
      </c>
      <c r="G28" s="49"/>
      <c r="H28" s="49"/>
      <c r="I28" s="49"/>
      <c r="J28" s="49"/>
      <c r="K28" s="50"/>
    </row>
    <row r="29" spans="2:11" x14ac:dyDescent="0.25">
      <c r="B29" s="23"/>
      <c r="C29" s="49" t="s">
        <v>191</v>
      </c>
      <c r="D29" s="21"/>
      <c r="E29" s="49"/>
      <c r="F29" s="251">
        <v>0.15</v>
      </c>
      <c r="G29" s="49"/>
      <c r="H29" s="49"/>
      <c r="I29" s="49"/>
      <c r="J29" s="49"/>
      <c r="K29" s="50"/>
    </row>
    <row r="30" spans="2:11" x14ac:dyDescent="0.25">
      <c r="B30" s="23"/>
      <c r="C30" s="72" t="s">
        <v>192</v>
      </c>
      <c r="D30" s="55"/>
      <c r="E30" s="194"/>
      <c r="F30" s="251">
        <v>0.1</v>
      </c>
      <c r="G30" s="49"/>
      <c r="H30" s="49"/>
      <c r="I30" s="49"/>
      <c r="J30" s="49"/>
      <c r="K30" s="50"/>
    </row>
    <row r="31" spans="2:11" x14ac:dyDescent="0.25">
      <c r="B31" s="23"/>
      <c r="D31" s="55"/>
      <c r="E31" s="49"/>
      <c r="F31" s="252"/>
      <c r="G31" s="49"/>
      <c r="H31" s="49"/>
      <c r="I31" s="49"/>
      <c r="J31" s="49"/>
      <c r="K31" s="50"/>
    </row>
    <row r="32" spans="2:11" x14ac:dyDescent="0.25">
      <c r="B32" s="23"/>
      <c r="C32" s="49" t="s">
        <v>188</v>
      </c>
      <c r="D32" s="55"/>
      <c r="E32" s="49"/>
      <c r="F32" s="252">
        <v>1</v>
      </c>
      <c r="G32" s="49"/>
      <c r="H32" s="49"/>
      <c r="I32" s="49"/>
      <c r="J32" s="49"/>
      <c r="K32" s="50"/>
    </row>
    <row r="33" spans="2:11" x14ac:dyDescent="0.25">
      <c r="B33" s="23"/>
      <c r="C33" s="49" t="s">
        <v>187</v>
      </c>
      <c r="D33" s="55"/>
      <c r="E33" s="49"/>
      <c r="F33" s="252">
        <v>1</v>
      </c>
      <c r="G33" s="49"/>
      <c r="H33" s="49"/>
      <c r="I33" s="49"/>
      <c r="J33" s="49"/>
      <c r="K33" s="50"/>
    </row>
    <row r="34" spans="2:11" x14ac:dyDescent="0.25">
      <c r="B34" s="23"/>
      <c r="D34" s="55"/>
      <c r="E34" s="49"/>
      <c r="F34" s="252"/>
      <c r="G34" s="49"/>
      <c r="H34" s="49"/>
      <c r="I34" s="49"/>
      <c r="J34" s="49"/>
      <c r="K34" s="50"/>
    </row>
    <row r="35" spans="2:11" x14ac:dyDescent="0.25">
      <c r="B35" s="23"/>
      <c r="C35" s="229" t="s">
        <v>137</v>
      </c>
      <c r="D35" s="49"/>
      <c r="E35" s="21"/>
      <c r="F35" s="252"/>
      <c r="G35" s="49"/>
      <c r="H35" s="49"/>
      <c r="I35" s="49"/>
      <c r="J35" s="49"/>
      <c r="K35" s="50"/>
    </row>
    <row r="36" spans="2:11" x14ac:dyDescent="0.25">
      <c r="B36" s="23"/>
      <c r="C36" s="229" t="s">
        <v>138</v>
      </c>
      <c r="D36" s="49"/>
      <c r="E36" s="21"/>
      <c r="F36" s="252"/>
      <c r="G36" s="49"/>
      <c r="H36" s="49"/>
      <c r="I36" s="49"/>
      <c r="J36" s="49"/>
      <c r="K36" s="50"/>
    </row>
    <row r="37" spans="2:11" x14ac:dyDescent="0.25">
      <c r="B37" s="23"/>
      <c r="C37" s="48"/>
      <c r="D37" s="49"/>
      <c r="E37" s="21"/>
      <c r="F37" s="252"/>
      <c r="G37" s="49"/>
      <c r="H37" s="49"/>
      <c r="I37" s="49"/>
      <c r="J37" s="49"/>
      <c r="K37" s="50"/>
    </row>
    <row r="38" spans="2:11" x14ac:dyDescent="0.25">
      <c r="B38" s="23"/>
      <c r="C38" s="48"/>
      <c r="D38" s="49"/>
      <c r="E38" s="21"/>
      <c r="F38" s="252"/>
      <c r="G38" s="49"/>
      <c r="H38" s="49"/>
      <c r="I38" s="49"/>
      <c r="J38" s="49"/>
      <c r="K38" s="50"/>
    </row>
    <row r="39" spans="2:11" x14ac:dyDescent="0.25">
      <c r="B39" s="23"/>
      <c r="C39" s="54" t="s">
        <v>106</v>
      </c>
      <c r="D39" s="20"/>
      <c r="E39" s="21"/>
      <c r="F39" s="252"/>
      <c r="G39" s="49"/>
      <c r="H39" s="49"/>
      <c r="I39" s="49"/>
      <c r="J39" s="49"/>
      <c r="K39" s="50"/>
    </row>
    <row r="40" spans="2:11" x14ac:dyDescent="0.25">
      <c r="B40" s="23"/>
      <c r="C40" s="56" t="s">
        <v>107</v>
      </c>
      <c r="D40" s="20"/>
      <c r="E40" s="21"/>
      <c r="F40" s="127"/>
      <c r="G40" s="49"/>
      <c r="H40" s="49"/>
      <c r="I40" s="49"/>
      <c r="J40" s="49"/>
      <c r="K40" s="50"/>
    </row>
    <row r="41" spans="2:11" x14ac:dyDescent="0.25">
      <c r="B41" s="23"/>
      <c r="C41" s="49"/>
      <c r="D41" s="20"/>
      <c r="E41" s="21"/>
      <c r="F41" s="127"/>
      <c r="G41" s="49"/>
      <c r="H41" s="49"/>
      <c r="I41" s="49"/>
      <c r="J41" s="49"/>
      <c r="K41" s="50"/>
    </row>
    <row r="42" spans="2:11" x14ac:dyDescent="0.25">
      <c r="B42" s="23"/>
      <c r="C42" s="57" t="s">
        <v>108</v>
      </c>
      <c r="D42" s="232">
        <f>INT(((D22+ROUNDUP(D10-1,0)*D23)*(1+D30+D31)+ROUNDUP(D10,0)*D24)*D34)</f>
        <v>0</v>
      </c>
      <c r="E42" s="49" t="s">
        <v>102</v>
      </c>
      <c r="F42" s="253">
        <f>INT(((F22+ROUNDUP(F10-1,1)*F23)*(1+F28+F29+F30)+ROUNDUP(F10,1)*F24+F22*F27)*F32*F33)</f>
        <v>5675</v>
      </c>
      <c r="G42" s="49" t="s">
        <v>102</v>
      </c>
      <c r="H42" s="49"/>
      <c r="I42" s="49"/>
      <c r="J42" s="49"/>
      <c r="K42" s="50"/>
    </row>
    <row r="43" spans="2:11" ht="15.75" x14ac:dyDescent="0.25">
      <c r="B43" s="23"/>
      <c r="C43" s="45" t="s">
        <v>109</v>
      </c>
      <c r="D43" s="21"/>
      <c r="E43" s="49"/>
      <c r="F43" s="65"/>
      <c r="G43" s="49"/>
      <c r="H43" s="49"/>
      <c r="I43" s="49"/>
      <c r="J43" s="49"/>
      <c r="K43" s="50"/>
    </row>
    <row r="44" spans="2:11" x14ac:dyDescent="0.25">
      <c r="B44" s="23"/>
      <c r="C44" s="56" t="s">
        <v>110</v>
      </c>
      <c r="D44" s="21"/>
      <c r="E44" s="49"/>
      <c r="F44" s="65"/>
      <c r="G44" s="49"/>
      <c r="H44" s="49"/>
      <c r="I44" s="49"/>
      <c r="J44" s="49"/>
      <c r="K44" s="50"/>
    </row>
    <row r="45" spans="2:11" x14ac:dyDescent="0.25">
      <c r="B45" s="23"/>
      <c r="C45" s="57" t="s">
        <v>111</v>
      </c>
      <c r="D45" s="58">
        <v>19.8</v>
      </c>
      <c r="E45" s="49" t="s">
        <v>112</v>
      </c>
      <c r="F45" s="233">
        <v>19.8</v>
      </c>
      <c r="G45" s="49"/>
      <c r="H45" s="49"/>
      <c r="I45" s="49"/>
      <c r="J45" s="49"/>
      <c r="K45" s="50"/>
    </row>
    <row r="46" spans="2:11" x14ac:dyDescent="0.25">
      <c r="B46" s="23"/>
      <c r="C46" s="49"/>
      <c r="D46" s="21"/>
      <c r="E46" s="49"/>
      <c r="F46" s="230"/>
      <c r="G46" s="49"/>
      <c r="H46" s="49"/>
      <c r="I46" s="49"/>
      <c r="J46" s="49"/>
      <c r="K46" s="50"/>
    </row>
    <row r="47" spans="2:11" x14ac:dyDescent="0.25">
      <c r="B47" s="23"/>
      <c r="C47" s="59" t="s">
        <v>113</v>
      </c>
      <c r="D47" s="237">
        <f>ROUND(D42*D45,-1)</f>
        <v>0</v>
      </c>
      <c r="F47" s="238">
        <f>ROUND(F42*F45,-1)</f>
        <v>112370</v>
      </c>
      <c r="G47" s="60"/>
      <c r="H47" s="49"/>
      <c r="I47" s="49"/>
      <c r="J47" s="49"/>
      <c r="K47" s="50"/>
    </row>
    <row r="48" spans="2:11" x14ac:dyDescent="0.25">
      <c r="B48" s="23"/>
      <c r="C48" s="49"/>
      <c r="D48" s="20"/>
      <c r="E48" s="61"/>
      <c r="F48" s="231"/>
      <c r="G48" s="49"/>
      <c r="H48" s="49"/>
      <c r="I48" s="49"/>
      <c r="J48" s="49"/>
      <c r="K48" s="50"/>
    </row>
    <row r="49" spans="2:11" ht="15.75" x14ac:dyDescent="0.25">
      <c r="B49" s="23"/>
      <c r="C49" s="51" t="s">
        <v>116</v>
      </c>
      <c r="D49" s="20"/>
      <c r="E49" s="60"/>
      <c r="F49" s="231"/>
      <c r="G49" s="49"/>
      <c r="H49" s="49"/>
      <c r="I49" s="49"/>
      <c r="J49" s="49"/>
      <c r="K49" s="50"/>
    </row>
    <row r="50" spans="2:11" ht="15.75" x14ac:dyDescent="0.25">
      <c r="B50" s="23"/>
      <c r="C50" s="48"/>
      <c r="D50" s="62">
        <f>D47</f>
        <v>0</v>
      </c>
      <c r="E50" s="60"/>
      <c r="F50" s="234">
        <f>F47</f>
        <v>112370</v>
      </c>
      <c r="H50" s="49"/>
      <c r="I50" s="208" t="s">
        <v>112</v>
      </c>
      <c r="J50" s="189"/>
      <c r="K50" s="63"/>
    </row>
    <row r="51" spans="2:11" ht="15.75" x14ac:dyDescent="0.25">
      <c r="B51" s="23"/>
      <c r="C51" s="48"/>
      <c r="D51" s="62">
        <f>ROUND(D50*0.23,2)</f>
        <v>0</v>
      </c>
      <c r="E51" s="236"/>
      <c r="F51" s="234">
        <f>ROUND(F50*0.23,2)</f>
        <v>25845.1</v>
      </c>
      <c r="H51" s="49"/>
      <c r="I51" s="208" t="s">
        <v>119</v>
      </c>
      <c r="J51" s="190"/>
      <c r="K51" s="63"/>
    </row>
    <row r="52" spans="2:11" x14ac:dyDescent="0.25">
      <c r="B52" s="23"/>
      <c r="C52" s="20"/>
      <c r="D52" s="64">
        <f>ROUND(D50+D51,2)</f>
        <v>0</v>
      </c>
      <c r="F52" s="235">
        <f>ROUND(F50+F51,2)</f>
        <v>138215.1</v>
      </c>
      <c r="H52" s="20"/>
      <c r="I52" s="208" t="s">
        <v>114</v>
      </c>
      <c r="J52" s="65"/>
      <c r="K52" s="34"/>
    </row>
    <row r="53" spans="2:11" x14ac:dyDescent="0.25">
      <c r="B53" s="23"/>
      <c r="C53" s="20"/>
      <c r="D53" s="64"/>
      <c r="F53" s="20"/>
      <c r="H53" s="20"/>
      <c r="I53" s="208"/>
      <c r="J53" s="65"/>
      <c r="K53" s="34"/>
    </row>
    <row r="54" spans="2:11" x14ac:dyDescent="0.25">
      <c r="B54" s="23"/>
      <c r="D54" s="209" t="s">
        <v>153</v>
      </c>
      <c r="E54" s="221">
        <f>D50+F50</f>
        <v>112370</v>
      </c>
      <c r="F54" s="291"/>
      <c r="H54" s="20"/>
      <c r="I54" s="208" t="s">
        <v>112</v>
      </c>
      <c r="J54" s="65"/>
      <c r="K54" s="34"/>
    </row>
    <row r="55" spans="2:11" x14ac:dyDescent="0.25">
      <c r="B55" s="23"/>
      <c r="D55" s="64"/>
      <c r="E55" s="241">
        <f>ROUND(E54*0.23,2)</f>
        <v>25845.1</v>
      </c>
      <c r="F55" s="20"/>
      <c r="H55" s="20"/>
      <c r="I55" s="208" t="s">
        <v>119</v>
      </c>
      <c r="J55" s="65"/>
      <c r="K55" s="34"/>
    </row>
    <row r="56" spans="2:11" ht="15.75" thickBot="1" x14ac:dyDescent="0.3">
      <c r="B56" s="26"/>
      <c r="C56" s="27"/>
      <c r="D56" s="27"/>
      <c r="E56" s="219">
        <f>ROUND(E54+E55,2)</f>
        <v>138215.1</v>
      </c>
      <c r="F56" s="27"/>
      <c r="G56" s="27"/>
      <c r="H56" s="27"/>
      <c r="I56" s="220" t="s">
        <v>114</v>
      </c>
      <c r="J56" s="27"/>
      <c r="K56" s="35"/>
    </row>
    <row r="58" spans="2:11" ht="15.75" thickBot="1" x14ac:dyDescent="0.3"/>
    <row r="59" spans="2:11" x14ac:dyDescent="0.25">
      <c r="C59" s="31"/>
      <c r="D59" s="217" t="s">
        <v>154</v>
      </c>
      <c r="E59" s="217" t="s">
        <v>155</v>
      </c>
      <c r="F59" s="218" t="s">
        <v>156</v>
      </c>
    </row>
    <row r="60" spans="2:11" x14ac:dyDescent="0.25">
      <c r="C60" s="213" t="s">
        <v>131</v>
      </c>
      <c r="D60" s="214">
        <v>0.1</v>
      </c>
      <c r="E60" s="215">
        <f>ROUND($E$54*D60,0)</f>
        <v>11237</v>
      </c>
      <c r="F60" s="239">
        <v>11500</v>
      </c>
      <c r="G60" s="225" t="s">
        <v>171</v>
      </c>
      <c r="H60" s="254">
        <f>F60/$F$64</f>
        <v>6.9277108433734941E-2</v>
      </c>
    </row>
    <row r="61" spans="2:11" x14ac:dyDescent="0.25">
      <c r="C61" s="318" t="s">
        <v>168</v>
      </c>
      <c r="D61" s="214">
        <v>0.25</v>
      </c>
      <c r="E61" s="215">
        <f>ROUND($E$54*D61,0)</f>
        <v>28093</v>
      </c>
      <c r="F61" s="239">
        <v>28000</v>
      </c>
      <c r="G61" s="225"/>
      <c r="H61" s="254">
        <f>F61/$F$64</f>
        <v>0.16867469879518071</v>
      </c>
      <c r="J61" s="236"/>
    </row>
    <row r="62" spans="2:11" x14ac:dyDescent="0.25">
      <c r="C62" s="319" t="s">
        <v>174</v>
      </c>
      <c r="D62" s="214">
        <v>0.1</v>
      </c>
      <c r="E62" s="215">
        <f>ROUND($E$54*D62,0)</f>
        <v>11237</v>
      </c>
      <c r="F62" s="239">
        <v>11500</v>
      </c>
      <c r="G62" s="225"/>
      <c r="H62" s="254"/>
      <c r="J62" s="236"/>
    </row>
    <row r="63" spans="2:11" ht="15.75" thickBot="1" x14ac:dyDescent="0.3">
      <c r="C63" s="320" t="s">
        <v>170</v>
      </c>
      <c r="D63" s="227">
        <v>0.55000000000000004</v>
      </c>
      <c r="E63" s="216">
        <f>ROUND($E$54*D63,0)</f>
        <v>61804</v>
      </c>
      <c r="F63" s="240">
        <v>115000</v>
      </c>
      <c r="G63" s="225" t="s">
        <v>172</v>
      </c>
      <c r="H63" s="254">
        <f>F63/$F$64</f>
        <v>0.69277108433734935</v>
      </c>
    </row>
    <row r="64" spans="2:11" x14ac:dyDescent="0.25">
      <c r="C64" s="225" t="s">
        <v>157</v>
      </c>
      <c r="D64" s="222">
        <f>SUM(D60:D63)</f>
        <v>1</v>
      </c>
      <c r="E64" s="226">
        <f>SUM(E60:E63)</f>
        <v>112371</v>
      </c>
      <c r="F64" s="223">
        <f>SUM(F60:F63)</f>
        <v>166000</v>
      </c>
    </row>
    <row r="65" spans="4:6" x14ac:dyDescent="0.25">
      <c r="D65" s="223"/>
      <c r="E65" s="223"/>
      <c r="F65" s="224">
        <f>F64-E64</f>
        <v>53629</v>
      </c>
    </row>
  </sheetData>
  <mergeCells count="1">
    <mergeCell ref="C6:K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Tabela Opracowania</vt:lpstr>
      <vt:lpstr>Geologia</vt:lpstr>
      <vt:lpstr>pozostałe elementy</vt:lpstr>
      <vt:lpstr>'Tabela Opracowania'!Obszar_wydruku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2017-10-25T07:31:26Z</dcterms:modified>
</cp:coreProperties>
</file>